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Ex1.xml" ContentType="application/vnd.ms-office.chartex+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2.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pvlvzw.sharepoint.com/sites/PVLVzw/Documents partages/General/Tools/"/>
    </mc:Choice>
  </mc:AlternateContent>
  <xr:revisionPtr revIDLastSave="0" documentId="14_{7AE646E9-E861-448D-9154-62A9D2B43280}" xr6:coauthVersionLast="47" xr6:coauthVersionMax="47" xr10:uidLastSave="{00000000-0000-0000-0000-000000000000}"/>
  <workbookProtection workbookAlgorithmName="SHA-512" workbookHashValue="XnA/qrAovXBZl8hCEGlFSvQHUWQuopORz9hIDSRgPBD1W2WXKljsXEBiwR8PsYAK4ohbwA5No1mDUXhxTdDORw==" workbookSaltValue="kB6M9ebzWzUcYzrBQu3JMQ==" workbookSpinCount="100000" lockStructure="1"/>
  <bookViews>
    <workbookView xWindow="-28920" yWindow="-120" windowWidth="29040" windowHeight="15720" tabRatio="822" activeTab="4" xr2:uid="{1ED0F362-5F6B-468C-8BF6-7FC3ABC67FF5}"/>
  </bookViews>
  <sheets>
    <sheet name="Handleiding" sheetId="19" r:id="rId1"/>
    <sheet name="Algemeen" sheetId="17" r:id="rId2"/>
    <sheet name="Zaai" sheetId="8" r:id="rId3"/>
    <sheet name="Nutriëntenbeheer" sheetId="10" r:id="rId4"/>
    <sheet name="Oogst" sheetId="11" r:id="rId5"/>
    <sheet name="Weidegang" sheetId="12" r:id="rId6"/>
    <sheet name="Kwaliteit graskuil" sheetId="13" r:id="rId7"/>
    <sheet name="In-uitkuilen" sheetId="14" r:id="rId8"/>
    <sheet name="Graslandonderhoud" sheetId="15" r:id="rId9"/>
    <sheet name="Waterhuishouding" sheetId="16" r:id="rId10"/>
    <sheet name="Graskompas" sheetId="4" r:id="rId11"/>
    <sheet name="Scoring" sheetId="18" state="hidden" r:id="rId12"/>
    <sheet name="Lijsten" sheetId="9" state="hidden" r:id="rId13"/>
  </sheets>
  <definedNames>
    <definedName name="_xlchart.v1.0" hidden="1">Graskompas!$A$7:$F$7</definedName>
    <definedName name="_xlchart.v1.1" hidden="1">Graskompas!$A$8:$F$8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7" l="1"/>
  <c r="J86" i="18"/>
  <c r="G87" i="18"/>
  <c r="O88" i="18"/>
  <c r="Q88" i="18" s="1"/>
  <c r="D120" i="18"/>
  <c r="D118" i="18"/>
  <c r="C15" i="10"/>
  <c r="C16" i="10"/>
  <c r="H87" i="18" l="1"/>
  <c r="I120" i="18"/>
  <c r="P119" i="18" s="1"/>
  <c r="O119" i="18"/>
  <c r="O117" i="18"/>
  <c r="I118" i="18"/>
  <c r="P117" i="18" s="1"/>
  <c r="Q117" i="18" s="1"/>
  <c r="D15" i="10"/>
  <c r="O64" i="18" s="1"/>
  <c r="Q64" i="18" s="1"/>
  <c r="D16" i="10"/>
  <c r="O66" i="18" s="1"/>
  <c r="Q66" i="18" s="1"/>
  <c r="N32" i="18"/>
  <c r="AE299" i="4"/>
  <c r="AE295" i="4"/>
  <c r="AE296" i="4"/>
  <c r="AE293" i="4"/>
  <c r="N234" i="18"/>
  <c r="C8" i="16"/>
  <c r="D8" i="16" s="1"/>
  <c r="O230" i="18" s="1"/>
  <c r="Q230" i="18" s="1"/>
  <c r="C231" i="18"/>
  <c r="C5" i="16"/>
  <c r="C3" i="16"/>
  <c r="AE265" i="4"/>
  <c r="AE262" i="4"/>
  <c r="O86" i="18" l="1"/>
  <c r="J87" i="18"/>
  <c r="P86" i="18" s="1"/>
  <c r="P121" i="18"/>
  <c r="P122" i="18"/>
  <c r="AD296" i="4"/>
  <c r="AD293" i="4"/>
  <c r="Q86" i="18" l="1"/>
  <c r="AG293" i="4"/>
  <c r="AF293" i="4"/>
  <c r="AE259" i="4" l="1"/>
  <c r="AE258" i="4"/>
  <c r="AE257" i="4"/>
  <c r="AE256" i="4"/>
  <c r="AE253" i="4"/>
  <c r="AE252" i="4"/>
  <c r="AE239" i="4"/>
  <c r="AE238" i="4"/>
  <c r="AE236" i="4"/>
  <c r="AE233" i="4"/>
  <c r="AE232" i="4"/>
  <c r="AE231" i="4"/>
  <c r="AE230" i="4"/>
  <c r="AE229" i="4"/>
  <c r="AD204" i="4"/>
  <c r="AD203" i="4"/>
  <c r="F154" i="18"/>
  <c r="F153" i="18"/>
  <c r="AD177" i="4" l="1"/>
  <c r="AD175" i="4"/>
  <c r="AD173" i="4"/>
  <c r="AD143" i="4"/>
  <c r="AD141" i="4"/>
  <c r="AD139" i="4"/>
  <c r="AD137" i="4"/>
  <c r="AD136" i="4"/>
  <c r="AI133" i="4"/>
  <c r="AH133" i="4"/>
  <c r="AG133" i="4"/>
  <c r="AF133" i="4"/>
  <c r="AE133" i="4"/>
  <c r="AD133" i="4"/>
  <c r="AI105" i="4"/>
  <c r="AH105" i="4"/>
  <c r="AG105" i="4"/>
  <c r="AF105" i="4"/>
  <c r="AE105" i="4"/>
  <c r="AD105" i="4"/>
  <c r="AC105" i="4"/>
  <c r="AD103" i="4"/>
  <c r="AE103" i="4"/>
  <c r="AF103" i="4"/>
  <c r="AG103" i="4"/>
  <c r="AH103" i="4"/>
  <c r="AI103" i="4"/>
  <c r="AJ103" i="4"/>
  <c r="AC103" i="4"/>
  <c r="AD101" i="4"/>
  <c r="AD100" i="4"/>
  <c r="AD99" i="4"/>
  <c r="AD98" i="4"/>
  <c r="P234" i="18"/>
  <c r="P215" i="18"/>
  <c r="P194" i="18"/>
  <c r="P31" i="18"/>
  <c r="P32" i="18"/>
  <c r="Q5" i="18"/>
  <c r="Q7" i="18"/>
  <c r="Q8" i="18"/>
  <c r="Q9" i="18"/>
  <c r="Q10" i="18"/>
  <c r="Q11" i="18"/>
  <c r="Q12" i="18"/>
  <c r="Q14" i="18"/>
  <c r="Q16" i="18"/>
  <c r="Q18" i="18"/>
  <c r="Q20" i="18"/>
  <c r="Q21" i="18"/>
  <c r="Q22" i="18"/>
  <c r="Q24" i="18"/>
  <c r="Q26" i="18"/>
  <c r="Q28" i="18"/>
  <c r="Q30" i="18"/>
  <c r="Q33" i="18"/>
  <c r="Q36" i="18"/>
  <c r="Q38" i="18"/>
  <c r="Q40" i="18"/>
  <c r="Q41" i="18"/>
  <c r="Q42" i="18"/>
  <c r="Q43" i="18"/>
  <c r="Q44" i="18"/>
  <c r="Q46" i="18"/>
  <c r="Q47" i="18"/>
  <c r="Q49" i="18"/>
  <c r="Q51" i="18"/>
  <c r="Q53" i="18"/>
  <c r="Q55" i="18"/>
  <c r="Q57" i="18"/>
  <c r="Q59" i="18"/>
  <c r="Q61" i="18"/>
  <c r="Q63" i="18"/>
  <c r="Q69" i="18"/>
  <c r="Q71" i="18"/>
  <c r="Q73" i="18"/>
  <c r="Q75" i="18"/>
  <c r="Q77" i="18"/>
  <c r="Q79" i="18"/>
  <c r="Q81" i="18"/>
  <c r="Q83" i="18"/>
  <c r="Q85" i="18"/>
  <c r="Q89" i="18"/>
  <c r="Q92" i="18"/>
  <c r="Q95" i="18"/>
  <c r="Q96" i="18"/>
  <c r="Q98" i="18"/>
  <c r="Q100" i="18"/>
  <c r="Q102" i="18"/>
  <c r="Q104" i="18"/>
  <c r="Q106" i="18"/>
  <c r="Q108" i="18"/>
  <c r="Q110" i="18"/>
  <c r="Q112" i="18"/>
  <c r="Q114" i="18"/>
  <c r="Q116" i="18"/>
  <c r="Q118" i="18"/>
  <c r="Q119" i="18"/>
  <c r="Q120" i="18"/>
  <c r="Q123" i="18"/>
  <c r="Q126" i="18"/>
  <c r="Q127" i="18"/>
  <c r="Q128" i="18"/>
  <c r="Q129" i="18"/>
  <c r="Q130" i="18"/>
  <c r="Q131" i="18"/>
  <c r="Q133" i="18"/>
  <c r="Q134" i="18"/>
  <c r="Q135" i="18"/>
  <c r="Q137" i="18"/>
  <c r="Q139" i="18"/>
  <c r="Q141" i="18"/>
  <c r="Q143" i="18"/>
  <c r="Q145" i="18"/>
  <c r="Q147" i="18"/>
  <c r="Q149" i="18"/>
  <c r="Q150" i="18"/>
  <c r="Q151" i="18"/>
  <c r="Q152" i="18"/>
  <c r="Q154" i="18"/>
  <c r="Q155" i="18"/>
  <c r="Q156" i="18"/>
  <c r="Q158" i="18"/>
  <c r="Q160" i="18"/>
  <c r="Q162" i="18"/>
  <c r="Q165" i="18"/>
  <c r="Q167" i="18"/>
  <c r="Q169" i="18"/>
  <c r="Q171" i="18"/>
  <c r="Q173" i="18"/>
  <c r="Q175" i="18"/>
  <c r="Q177" i="18"/>
  <c r="Q179" i="18"/>
  <c r="Q181" i="18"/>
  <c r="Q183" i="18"/>
  <c r="Q185" i="18"/>
  <c r="Q187" i="18"/>
  <c r="Q189" i="18"/>
  <c r="Q191" i="18"/>
  <c r="Q193" i="18"/>
  <c r="Q195" i="18"/>
  <c r="Q198" i="18"/>
  <c r="Q200" i="18"/>
  <c r="Q202" i="18"/>
  <c r="Q204" i="18"/>
  <c r="Q206" i="18"/>
  <c r="Q208" i="18"/>
  <c r="Q210" i="18"/>
  <c r="Q212" i="18"/>
  <c r="Q214" i="18"/>
  <c r="Q216" i="18"/>
  <c r="Q218" i="18"/>
  <c r="Q219" i="18"/>
  <c r="Q221" i="18"/>
  <c r="Q222" i="18"/>
  <c r="Q223" i="18"/>
  <c r="Q225" i="18"/>
  <c r="Q226" i="18"/>
  <c r="Q227" i="18"/>
  <c r="Q229" i="18"/>
  <c r="AD89" i="4"/>
  <c r="AD88" i="4"/>
  <c r="AD87" i="4"/>
  <c r="AD86" i="4"/>
  <c r="AD85" i="4"/>
  <c r="AD83" i="4"/>
  <c r="AD82" i="4"/>
  <c r="AD80" i="4"/>
  <c r="AD79" i="4"/>
  <c r="D3" i="16"/>
  <c r="O220" i="18" s="1"/>
  <c r="Q220" i="18" s="1"/>
  <c r="AC133" i="4" l="1"/>
  <c r="AA17" i="4"/>
  <c r="AA16" i="4"/>
  <c r="AA15" i="4"/>
  <c r="AA14" i="4"/>
  <c r="AA13" i="4"/>
  <c r="AA12" i="4"/>
  <c r="AA11" i="4"/>
  <c r="AA10" i="4"/>
  <c r="N91" i="18" l="1"/>
  <c r="N31" i="18"/>
  <c r="C7" i="8"/>
  <c r="AC89" i="4" s="1"/>
  <c r="C6" i="8"/>
  <c r="AC88" i="4" s="1"/>
  <c r="C7" i="10"/>
  <c r="C14" i="18"/>
  <c r="C12" i="18"/>
  <c r="C10" i="18"/>
  <c r="C5" i="8" s="1"/>
  <c r="AC87" i="4" s="1"/>
  <c r="C8" i="18"/>
  <c r="C4" i="8" s="1"/>
  <c r="AC86" i="4" s="1"/>
  <c r="D7" i="8" l="1"/>
  <c r="O13" i="18" s="1"/>
  <c r="Q13" i="18" s="1"/>
  <c r="D4" i="8"/>
  <c r="D5" i="8"/>
  <c r="D6" i="8"/>
  <c r="C233" i="18"/>
  <c r="C9" i="16" s="1"/>
  <c r="C229" i="18"/>
  <c r="C7" i="16" s="1"/>
  <c r="C225" i="18"/>
  <c r="D5" i="16" s="1"/>
  <c r="O224" i="18" s="1"/>
  <c r="Q224" i="18" s="1"/>
  <c r="D143" i="18"/>
  <c r="AD299" i="4" l="1"/>
  <c r="D9" i="16"/>
  <c r="O232" i="18" s="1"/>
  <c r="Q232" i="18" s="1"/>
  <c r="D7" i="16"/>
  <c r="O228" i="18" s="1"/>
  <c r="Q228" i="18" s="1"/>
  <c r="C10" i="16"/>
  <c r="C11" i="16" s="1"/>
  <c r="AD295" i="4"/>
  <c r="O6" i="18"/>
  <c r="Q6" i="18" s="1"/>
  <c r="N215" i="18"/>
  <c r="C212" i="18"/>
  <c r="C9" i="15" s="1"/>
  <c r="F208" i="18"/>
  <c r="D208" i="18"/>
  <c r="E208" i="18"/>
  <c r="C7" i="15" s="1"/>
  <c r="C210" i="18"/>
  <c r="C8" i="15" s="1"/>
  <c r="C5" i="14"/>
  <c r="E5" i="14" s="1"/>
  <c r="O170" i="18" s="1"/>
  <c r="Q170" i="18" s="1"/>
  <c r="N194" i="18"/>
  <c r="C193" i="18"/>
  <c r="C16" i="14" s="1"/>
  <c r="I191" i="18"/>
  <c r="H191" i="18"/>
  <c r="G191" i="18"/>
  <c r="F191" i="18"/>
  <c r="E191" i="18"/>
  <c r="C15" i="14" s="1"/>
  <c r="E15" i="14" s="1"/>
  <c r="O190" i="18" s="1"/>
  <c r="Q190" i="18" s="1"/>
  <c r="C189" i="18"/>
  <c r="C14" i="14" s="1"/>
  <c r="C181" i="18"/>
  <c r="C10" i="14" s="1"/>
  <c r="E10" i="14" s="1"/>
  <c r="O180" i="18" s="1"/>
  <c r="Q180" i="18" s="1"/>
  <c r="C179" i="18"/>
  <c r="C9" i="14" s="1"/>
  <c r="C177" i="18"/>
  <c r="C8" i="14" s="1"/>
  <c r="E8" i="14" s="1"/>
  <c r="O176" i="18" s="1"/>
  <c r="Q176" i="18" s="1"/>
  <c r="C175" i="18"/>
  <c r="C7" i="14" s="1"/>
  <c r="C171" i="18"/>
  <c r="C169" i="18"/>
  <c r="C4" i="14" s="1"/>
  <c r="C167" i="18"/>
  <c r="C3" i="14" s="1"/>
  <c r="C165" i="18"/>
  <c r="C2" i="14" s="1"/>
  <c r="D110" i="18"/>
  <c r="N161" i="18"/>
  <c r="F160" i="18"/>
  <c r="D160" i="18"/>
  <c r="C160" i="18"/>
  <c r="F158" i="18"/>
  <c r="E158" i="18"/>
  <c r="D158" i="18"/>
  <c r="C158" i="18"/>
  <c r="C10" i="11" l="1"/>
  <c r="AC141" i="4" s="1"/>
  <c r="AF299" i="4"/>
  <c r="AG299" i="4"/>
  <c r="AH295" i="4"/>
  <c r="AG295" i="4"/>
  <c r="AF295" i="4"/>
  <c r="Q234" i="18"/>
  <c r="E16" i="14"/>
  <c r="O192" i="18" s="1"/>
  <c r="Q192" i="18" s="1"/>
  <c r="AD233" i="4"/>
  <c r="P12" i="4"/>
  <c r="D8" i="15"/>
  <c r="AD265" i="4"/>
  <c r="D9" i="15"/>
  <c r="AD262" i="4"/>
  <c r="D7" i="15"/>
  <c r="O207" i="18" s="1"/>
  <c r="Q207" i="18" s="1"/>
  <c r="AD253" i="4"/>
  <c r="E14" i="14"/>
  <c r="O188" i="18" s="1"/>
  <c r="Q188" i="18" s="1"/>
  <c r="AD232" i="4"/>
  <c r="E9" i="14"/>
  <c r="O178" i="18" s="1"/>
  <c r="Q178" i="18" s="1"/>
  <c r="AD239" i="4"/>
  <c r="E7" i="14"/>
  <c r="O174" i="18" s="1"/>
  <c r="Q174" i="18" s="1"/>
  <c r="AD238" i="4"/>
  <c r="E3" i="14"/>
  <c r="O166" i="18" s="1"/>
  <c r="Q166" i="18" s="1"/>
  <c r="AD236" i="4"/>
  <c r="E4" i="14"/>
  <c r="O168" i="18" s="1"/>
  <c r="Q168" i="18" s="1"/>
  <c r="AD230" i="4"/>
  <c r="E2" i="14"/>
  <c r="O164" i="18" s="1"/>
  <c r="Q164" i="18" s="1"/>
  <c r="AD229" i="4"/>
  <c r="D6" i="13"/>
  <c r="D7" i="13"/>
  <c r="AE141" i="4" l="1"/>
  <c r="AF141" i="4"/>
  <c r="AB17" i="4"/>
  <c r="AC290" i="4"/>
  <c r="I293" i="4" s="1"/>
  <c r="AG265" i="4"/>
  <c r="AF265" i="4"/>
  <c r="O209" i="18"/>
  <c r="Q209" i="18" s="1"/>
  <c r="O211" i="18"/>
  <c r="Q211" i="18" s="1"/>
  <c r="AG262" i="4"/>
  <c r="AF262" i="4"/>
  <c r="AG238" i="4"/>
  <c r="AH238" i="4"/>
  <c r="AF238" i="4"/>
  <c r="AG236" i="4"/>
  <c r="AF236" i="4"/>
  <c r="F7" i="13"/>
  <c r="O159" i="18" s="1"/>
  <c r="Q159" i="18" s="1"/>
  <c r="AG208" i="4"/>
  <c r="AE208" i="4"/>
  <c r="AD208" i="4"/>
  <c r="AF208" i="4"/>
  <c r="F6" i="13"/>
  <c r="O157" i="18" s="1"/>
  <c r="Q157" i="18" s="1"/>
  <c r="AF207" i="4"/>
  <c r="AG207" i="4"/>
  <c r="AE207" i="4"/>
  <c r="AD207" i="4"/>
  <c r="N134" i="18"/>
  <c r="N146" i="18" s="1"/>
  <c r="C10" i="12"/>
  <c r="C9" i="12"/>
  <c r="C6" i="12"/>
  <c r="F6" i="12" s="1"/>
  <c r="O132" i="18" s="1"/>
  <c r="Q132" i="18" s="1"/>
  <c r="C5" i="12"/>
  <c r="F5" i="12" s="1"/>
  <c r="C4" i="12"/>
  <c r="F4" i="12" s="1"/>
  <c r="C2" i="12"/>
  <c r="E15" i="11"/>
  <c r="E14" i="11"/>
  <c r="E10" i="11"/>
  <c r="O109" i="18" s="1"/>
  <c r="Q109" i="18" s="1"/>
  <c r="C13" i="11"/>
  <c r="E13" i="11" s="1"/>
  <c r="O115" i="18" s="1"/>
  <c r="Q115" i="18" s="1"/>
  <c r="C9" i="11"/>
  <c r="F9" i="12" l="1"/>
  <c r="O136" i="18" s="1"/>
  <c r="Q136" i="18" s="1"/>
  <c r="AC173" i="4"/>
  <c r="F10" i="12"/>
  <c r="O138" i="18" s="1"/>
  <c r="Q138" i="18" s="1"/>
  <c r="AC175" i="4"/>
  <c r="E9" i="11"/>
  <c r="O107" i="18" s="1"/>
  <c r="Q107" i="18" s="1"/>
  <c r="AC137" i="4"/>
  <c r="F2" i="12"/>
  <c r="O125" i="18" s="1"/>
  <c r="C7" i="12"/>
  <c r="F7" i="12" s="1"/>
  <c r="N90" i="18"/>
  <c r="C24" i="10"/>
  <c r="D24" i="10" s="1"/>
  <c r="O82" i="18" s="1"/>
  <c r="Q82" i="18" s="1"/>
  <c r="C23" i="10"/>
  <c r="D23" i="10" s="1"/>
  <c r="O80" i="18" s="1"/>
  <c r="Q80" i="18" s="1"/>
  <c r="C22" i="10"/>
  <c r="D22" i="10" s="1"/>
  <c r="O78" i="18" s="1"/>
  <c r="Q78" i="18" s="1"/>
  <c r="C21" i="10"/>
  <c r="D21" i="10" s="1"/>
  <c r="O76" i="18" s="1"/>
  <c r="Q76" i="18" s="1"/>
  <c r="C20" i="10"/>
  <c r="D20" i="10" s="1"/>
  <c r="O74" i="18" s="1"/>
  <c r="Q74" i="18" s="1"/>
  <c r="C19" i="10"/>
  <c r="D19" i="10" s="1"/>
  <c r="O72" i="18" s="1"/>
  <c r="Q72" i="18" s="1"/>
  <c r="C18" i="10"/>
  <c r="D18" i="10" s="1"/>
  <c r="O70" i="18" s="1"/>
  <c r="Q70" i="18" s="1"/>
  <c r="C13" i="10"/>
  <c r="D13" i="10" s="1"/>
  <c r="O60" i="18" s="1"/>
  <c r="Q60" i="18" s="1"/>
  <c r="C12" i="10"/>
  <c r="C11" i="10"/>
  <c r="D11" i="10" s="1"/>
  <c r="O56" i="18" s="1"/>
  <c r="Q56" i="18" s="1"/>
  <c r="C10" i="10"/>
  <c r="D10" i="10" s="1"/>
  <c r="O54" i="18" s="1"/>
  <c r="Q54" i="18" s="1"/>
  <c r="C9" i="10"/>
  <c r="D9" i="10" s="1"/>
  <c r="O52" i="18" s="1"/>
  <c r="Q52" i="18" s="1"/>
  <c r="C8" i="10"/>
  <c r="D8" i="10" s="1"/>
  <c r="O50" i="18" s="1"/>
  <c r="Q50" i="18" s="1"/>
  <c r="D7" i="10"/>
  <c r="O48" i="18" s="1"/>
  <c r="Q48" i="18" s="1"/>
  <c r="O142" i="18" l="1"/>
  <c r="Q125" i="18"/>
  <c r="AF173" i="4"/>
  <c r="AE173" i="4"/>
  <c r="AF175" i="4"/>
  <c r="AE175" i="4"/>
  <c r="D12" i="10"/>
  <c r="O58" i="18" s="1"/>
  <c r="Q58" i="18" s="1"/>
  <c r="H106" i="18"/>
  <c r="D106" i="18"/>
  <c r="E106" i="18"/>
  <c r="C8" i="11" s="1"/>
  <c r="C40" i="18"/>
  <c r="P39" i="18" s="1"/>
  <c r="J42" i="18"/>
  <c r="H42" i="18"/>
  <c r="H43" i="18"/>
  <c r="G42" i="18"/>
  <c r="K43" i="18"/>
  <c r="J43" i="18"/>
  <c r="I43" i="18"/>
  <c r="K44" i="18"/>
  <c r="J44" i="18"/>
  <c r="I44" i="18"/>
  <c r="H41" i="18"/>
  <c r="I42" i="18"/>
  <c r="E41" i="18"/>
  <c r="P90" i="18" l="1"/>
  <c r="P91" i="18"/>
  <c r="E8" i="11"/>
  <c r="O105" i="18" s="1"/>
  <c r="Q105" i="18" s="1"/>
  <c r="AC136" i="4"/>
  <c r="AE136" i="4" s="1"/>
  <c r="K40" i="18"/>
  <c r="E40" i="18"/>
  <c r="D40" i="18"/>
  <c r="J40" i="18"/>
  <c r="H40" i="18"/>
  <c r="I40" i="18"/>
  <c r="F214" i="18"/>
  <c r="E214" i="18"/>
  <c r="D214" i="18"/>
  <c r="C10" i="15" s="1"/>
  <c r="D10" i="15" s="1"/>
  <c r="O213" i="18" s="1"/>
  <c r="Q213" i="18" s="1"/>
  <c r="C206" i="18"/>
  <c r="C6" i="15" s="1"/>
  <c r="D202" i="18"/>
  <c r="C204" i="18"/>
  <c r="C5" i="15" s="1"/>
  <c r="D201" i="18"/>
  <c r="C201" i="18"/>
  <c r="C200" i="18"/>
  <c r="C3" i="15" s="1"/>
  <c r="C198" i="18"/>
  <c r="C2" i="15" s="1"/>
  <c r="C4" i="10" l="1"/>
  <c r="C4" i="15"/>
  <c r="D4" i="15" s="1"/>
  <c r="O201" i="18" s="1"/>
  <c r="Q201" i="18" s="1"/>
  <c r="D5" i="15"/>
  <c r="O203" i="18" s="1"/>
  <c r="Q203" i="18" s="1"/>
  <c r="AD258" i="4"/>
  <c r="D3" i="15"/>
  <c r="O199" i="18" s="1"/>
  <c r="Q199" i="18" s="1"/>
  <c r="AD256" i="4"/>
  <c r="D6" i="15"/>
  <c r="O205" i="18" s="1"/>
  <c r="Q205" i="18" s="1"/>
  <c r="AD259" i="4"/>
  <c r="AD252" i="4"/>
  <c r="AI252" i="4" s="1"/>
  <c r="D2" i="15"/>
  <c r="O197" i="18" s="1"/>
  <c r="Q197" i="18" s="1"/>
  <c r="AF136" i="4"/>
  <c r="AG136" i="4"/>
  <c r="D4" i="10" l="1"/>
  <c r="O39" i="18" s="1"/>
  <c r="Q39" i="18" s="1"/>
  <c r="AC101" i="4"/>
  <c r="C11" i="15"/>
  <c r="C12" i="15" s="1"/>
  <c r="L12" i="4" s="1"/>
  <c r="AD257" i="4"/>
  <c r="AH256" i="4" s="1"/>
  <c r="Q215" i="18"/>
  <c r="AF259" i="4"/>
  <c r="AG259" i="4" s="1"/>
  <c r="AH252" i="4"/>
  <c r="AG252" i="4"/>
  <c r="AF252" i="4"/>
  <c r="C187" i="18"/>
  <c r="C13" i="14" s="1"/>
  <c r="E13" i="14" s="1"/>
  <c r="O186" i="18" s="1"/>
  <c r="Q186" i="18" s="1"/>
  <c r="C185" i="18"/>
  <c r="C12" i="14" s="1"/>
  <c r="H183" i="18"/>
  <c r="G183" i="18"/>
  <c r="F183" i="18"/>
  <c r="E183" i="18"/>
  <c r="C173" i="18"/>
  <c r="C6" i="14" s="1"/>
  <c r="C155" i="18"/>
  <c r="C153" i="18"/>
  <c r="C152" i="18"/>
  <c r="D3" i="13" s="1"/>
  <c r="F3" i="13" s="1"/>
  <c r="C141" i="18"/>
  <c r="C11" i="12" s="1"/>
  <c r="AC177" i="4" s="1"/>
  <c r="C139" i="18"/>
  <c r="C137" i="18"/>
  <c r="C135" i="18"/>
  <c r="C133" i="18"/>
  <c r="C131" i="18"/>
  <c r="C129" i="18"/>
  <c r="C126" i="18"/>
  <c r="C95" i="18"/>
  <c r="C2" i="11" s="1"/>
  <c r="F116" i="18"/>
  <c r="E116" i="18"/>
  <c r="E114" i="18"/>
  <c r="C12" i="11" s="1"/>
  <c r="D114" i="18"/>
  <c r="C114" i="18"/>
  <c r="C112" i="18"/>
  <c r="C11" i="11" s="1"/>
  <c r="E11" i="11" s="1"/>
  <c r="O111" i="18" s="1"/>
  <c r="Q111" i="18" s="1"/>
  <c r="C108" i="18"/>
  <c r="G106" i="18"/>
  <c r="F106" i="18"/>
  <c r="G104" i="18"/>
  <c r="F104" i="18"/>
  <c r="E104" i="18"/>
  <c r="C7" i="11" s="1"/>
  <c r="N101" i="18"/>
  <c r="N99" i="18"/>
  <c r="N97" i="18"/>
  <c r="F85" i="18"/>
  <c r="E85" i="18"/>
  <c r="D85" i="18"/>
  <c r="C85" i="18"/>
  <c r="C25" i="10" s="1"/>
  <c r="D25" i="10" s="1"/>
  <c r="O84" i="18" s="1"/>
  <c r="Q84" i="18" s="1"/>
  <c r="C83" i="18"/>
  <c r="C81" i="18"/>
  <c r="C79" i="18"/>
  <c r="C77" i="18"/>
  <c r="C75" i="18"/>
  <c r="C73" i="18"/>
  <c r="C71" i="18"/>
  <c r="G69" i="18"/>
  <c r="F69" i="18"/>
  <c r="C17" i="10" s="1"/>
  <c r="D17" i="10" s="1"/>
  <c r="O68" i="18" s="1"/>
  <c r="Q68" i="18" s="1"/>
  <c r="E69" i="18"/>
  <c r="D69" i="18"/>
  <c r="C69" i="18"/>
  <c r="E63" i="18"/>
  <c r="C14" i="10" s="1"/>
  <c r="D14" i="10" s="1"/>
  <c r="O62" i="18" s="1"/>
  <c r="Q62" i="18" s="1"/>
  <c r="C61" i="18"/>
  <c r="C59" i="18"/>
  <c r="C57" i="18"/>
  <c r="C55" i="18"/>
  <c r="C53" i="18"/>
  <c r="C51" i="18"/>
  <c r="C49" i="18"/>
  <c r="C46" i="18"/>
  <c r="C5" i="10" s="1"/>
  <c r="G41" i="18"/>
  <c r="G40" i="18" s="1"/>
  <c r="F41" i="18"/>
  <c r="F40" i="18" s="1"/>
  <c r="C38" i="18"/>
  <c r="C3" i="10" s="1"/>
  <c r="C36" i="18"/>
  <c r="C2" i="10" s="1"/>
  <c r="AC98" i="4" s="1"/>
  <c r="AE98" i="4" s="1"/>
  <c r="C30" i="18"/>
  <c r="C13" i="8" s="1"/>
  <c r="D13" i="8" s="1"/>
  <c r="O29" i="18" s="1"/>
  <c r="Q29" i="18" s="1"/>
  <c r="C28" i="18"/>
  <c r="C12" i="8" s="1"/>
  <c r="D12" i="8" s="1"/>
  <c r="O27" i="18" s="1"/>
  <c r="Q27" i="18" s="1"/>
  <c r="F26" i="18"/>
  <c r="E26" i="18"/>
  <c r="D26" i="18"/>
  <c r="C11" i="8" s="1"/>
  <c r="C26" i="18"/>
  <c r="F24" i="18"/>
  <c r="E24" i="18"/>
  <c r="D24" i="18"/>
  <c r="C10" i="8" s="1"/>
  <c r="C24" i="18"/>
  <c r="H22" i="18"/>
  <c r="G22" i="18"/>
  <c r="C9" i="8" s="1"/>
  <c r="H20" i="18"/>
  <c r="G20" i="18"/>
  <c r="I18" i="18"/>
  <c r="H18" i="18"/>
  <c r="G18" i="18"/>
  <c r="I16" i="18"/>
  <c r="H16" i="18"/>
  <c r="G16" i="18"/>
  <c r="C5" i="18"/>
  <c r="C2" i="8" s="1"/>
  <c r="AB15" i="4" l="1"/>
  <c r="AC249" i="4"/>
  <c r="B279" i="4" s="1"/>
  <c r="AC85" i="4"/>
  <c r="D2" i="8"/>
  <c r="O4" i="18" s="1"/>
  <c r="Q4" i="18" s="1"/>
  <c r="C8" i="8"/>
  <c r="AC79" i="4" s="1"/>
  <c r="E12" i="11"/>
  <c r="O113" i="18" s="1"/>
  <c r="Q113" i="18" s="1"/>
  <c r="AC143" i="4"/>
  <c r="AG256" i="4"/>
  <c r="AG258" i="4" s="1"/>
  <c r="AI256" i="4"/>
  <c r="D10" i="8"/>
  <c r="O23" i="18" s="1"/>
  <c r="Q23" i="18" s="1"/>
  <c r="AC82" i="4"/>
  <c r="D11" i="8"/>
  <c r="O25" i="18" s="1"/>
  <c r="Q25" i="18" s="1"/>
  <c r="AC83" i="4"/>
  <c r="AF256" i="4"/>
  <c r="D3" i="10"/>
  <c r="O37" i="18" s="1"/>
  <c r="Q37" i="18" s="1"/>
  <c r="AC100" i="4"/>
  <c r="D9" i="8"/>
  <c r="O19" i="18" s="1"/>
  <c r="Q19" i="18" s="1"/>
  <c r="AC80" i="4"/>
  <c r="E12" i="14"/>
  <c r="O184" i="18" s="1"/>
  <c r="Q184" i="18" s="1"/>
  <c r="AD231" i="4"/>
  <c r="AI173" i="4"/>
  <c r="AH173" i="4"/>
  <c r="AF177" i="4"/>
  <c r="AE177" i="4"/>
  <c r="E7" i="11"/>
  <c r="O103" i="18" s="1"/>
  <c r="Q103" i="18" s="1"/>
  <c r="AC139" i="4"/>
  <c r="D5" i="10"/>
  <c r="O45" i="18" s="1"/>
  <c r="Q45" i="18" s="1"/>
  <c r="AC99" i="4"/>
  <c r="AG98" i="4"/>
  <c r="D155" i="18"/>
  <c r="C156" i="18" s="1"/>
  <c r="D5" i="13" s="1"/>
  <c r="C28" i="10"/>
  <c r="C29" i="10" s="1"/>
  <c r="B12" i="4" s="1"/>
  <c r="C11" i="14"/>
  <c r="E11" i="14" s="1"/>
  <c r="O182" i="18" s="1"/>
  <c r="Q182" i="18" s="1"/>
  <c r="E6" i="14"/>
  <c r="O172" i="18" s="1"/>
  <c r="Q172" i="18" s="1"/>
  <c r="C3" i="13"/>
  <c r="F11" i="12"/>
  <c r="O140" i="18" s="1"/>
  <c r="Q140" i="18" s="1"/>
  <c r="D2" i="10"/>
  <c r="O35" i="18" s="1"/>
  <c r="Q35" i="18" s="1"/>
  <c r="Q90" i="18" s="1"/>
  <c r="N121" i="18"/>
  <c r="N122" i="18"/>
  <c r="E2" i="11"/>
  <c r="O94" i="18" s="1"/>
  <c r="Q94" i="18" s="1"/>
  <c r="C100" i="18"/>
  <c r="C5" i="11" s="1"/>
  <c r="E5" i="11" s="1"/>
  <c r="O99" i="18" s="1"/>
  <c r="Q99" i="18" s="1"/>
  <c r="C98" i="18"/>
  <c r="C4" i="11" s="1"/>
  <c r="E4" i="11" s="1"/>
  <c r="O97" i="18" s="1"/>
  <c r="Q97" i="18" s="1"/>
  <c r="C102" i="18"/>
  <c r="C6" i="11" s="1"/>
  <c r="E6" i="11" s="1"/>
  <c r="O101" i="18" s="1"/>
  <c r="Q101" i="18" s="1"/>
  <c r="Q91" i="18" l="1"/>
  <c r="C14" i="8"/>
  <c r="C15" i="8" s="1"/>
  <c r="J12" i="4" s="1"/>
  <c r="AB77" i="4" s="1"/>
  <c r="D8" i="8"/>
  <c r="AB97" i="4"/>
  <c r="P153" i="18"/>
  <c r="P161" i="18" s="1"/>
  <c r="AG82" i="4"/>
  <c r="AF82" i="4"/>
  <c r="AE82" i="4"/>
  <c r="Q194" i="18"/>
  <c r="AF79" i="4"/>
  <c r="AE79" i="4"/>
  <c r="AG79" i="4"/>
  <c r="AF143" i="4"/>
  <c r="AE143" i="4"/>
  <c r="AF100" i="4"/>
  <c r="AG100" i="4"/>
  <c r="AE100" i="4"/>
  <c r="AF85" i="4"/>
  <c r="AG85" i="4"/>
  <c r="AE85" i="4"/>
  <c r="AH229" i="4"/>
  <c r="AI229" i="4"/>
  <c r="AF229" i="4"/>
  <c r="AG229" i="4"/>
  <c r="F5" i="13"/>
  <c r="O153" i="18" s="1"/>
  <c r="AF204" i="4"/>
  <c r="AF205" i="4" s="1"/>
  <c r="AF203" i="4"/>
  <c r="AE203" i="4"/>
  <c r="AE204" i="4"/>
  <c r="AE205" i="4" s="1"/>
  <c r="AE139" i="4"/>
  <c r="AF139" i="4"/>
  <c r="Q122" i="18"/>
  <c r="Q121" i="18"/>
  <c r="AE99" i="4"/>
  <c r="AG99" i="4"/>
  <c r="AB10" i="4"/>
  <c r="C16" i="11"/>
  <c r="C17" i="11" s="1"/>
  <c r="F12" i="4" s="1"/>
  <c r="AB131" i="4" s="1"/>
  <c r="C17" i="14"/>
  <c r="C18" i="14" s="1"/>
  <c r="H12" i="4" s="1"/>
  <c r="C5" i="13"/>
  <c r="C8" i="13" s="1"/>
  <c r="D8" i="13"/>
  <c r="D9" i="13" s="1"/>
  <c r="D12" i="4" s="1"/>
  <c r="O15" i="18" l="1"/>
  <c r="Q15" i="18" s="1"/>
  <c r="O17" i="18"/>
  <c r="Q17" i="18" s="1"/>
  <c r="I134" i="4"/>
  <c r="Q153" i="18"/>
  <c r="Q161" i="18" s="1"/>
  <c r="AB14" i="4"/>
  <c r="I100" i="4"/>
  <c r="AB11" i="4"/>
  <c r="AC199" i="4"/>
  <c r="AB13" i="4"/>
  <c r="AC226" i="4"/>
  <c r="I229" i="4" s="1"/>
  <c r="AB12" i="4"/>
  <c r="A7" i="17"/>
  <c r="F8" i="4"/>
  <c r="E8" i="4"/>
  <c r="D8" i="4"/>
  <c r="C8" i="4"/>
  <c r="B8" i="4"/>
  <c r="A8" i="4"/>
  <c r="Q31" i="18" l="1"/>
  <c r="Q32" i="18"/>
  <c r="I202" i="4"/>
  <c r="A134" i="18"/>
  <c r="A7" i="12"/>
  <c r="A6" i="17"/>
  <c r="A5" i="17"/>
  <c r="D7" i="17"/>
  <c r="D6" i="17"/>
  <c r="D5" i="17"/>
  <c r="D4" i="17"/>
  <c r="A4" i="17"/>
  <c r="I80" i="4" l="1"/>
  <c r="A132" i="18"/>
  <c r="A6" i="12"/>
  <c r="F132" i="18"/>
  <c r="E6" i="12"/>
  <c r="F134" i="18"/>
  <c r="E7" i="12"/>
  <c r="A128" i="18"/>
  <c r="A4" i="12"/>
  <c r="E4" i="12"/>
  <c r="F128" i="18"/>
  <c r="A130" i="18"/>
  <c r="A5" i="12"/>
  <c r="F130" i="18"/>
  <c r="E5" i="12"/>
  <c r="B13" i="12" l="1"/>
  <c r="B12" i="12"/>
  <c r="C12" i="12" s="1"/>
  <c r="C14" i="12" s="1"/>
  <c r="C15" i="12" s="1"/>
  <c r="N12" i="4" s="1"/>
  <c r="AB158" i="4" s="1"/>
  <c r="C142" i="18"/>
  <c r="C144" i="18"/>
  <c r="P144" i="18" s="1"/>
  <c r="P142" i="18" l="1"/>
  <c r="P146" i="18" s="1"/>
  <c r="O144" i="18"/>
  <c r="Q144" i="18" s="1"/>
  <c r="AA160" i="4"/>
  <c r="AC167" i="4" s="1"/>
  <c r="AB16" i="4"/>
  <c r="AD10" i="4" s="1" a="1"/>
  <c r="H66" i="4" s="1"/>
  <c r="S12" i="4"/>
  <c r="H64" i="4" s="1"/>
  <c r="AF161" i="4" l="1"/>
  <c r="AD161" i="4"/>
  <c r="AE161" i="4"/>
  <c r="AC168" i="4"/>
  <c r="AC170" i="4"/>
  <c r="AC163" i="4"/>
  <c r="AC164" i="4"/>
  <c r="AC165" i="4"/>
  <c r="AC166" i="4"/>
  <c r="AC169" i="4"/>
  <c r="Q142" i="18"/>
  <c r="Q146" i="18" s="1"/>
  <c r="B189" i="4" s="1"/>
  <c r="AC162" i="4"/>
  <c r="AC161" i="4"/>
  <c r="AC16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<sst xmlns="http://schemas.openxmlformats.org/spreadsheetml/2006/main" count="1160" uniqueCount="461">
  <si>
    <t>Graskompas</t>
  </si>
  <si>
    <t>Vraag</t>
  </si>
  <si>
    <t>Antwoord</t>
  </si>
  <si>
    <t>Type bedrijf</t>
  </si>
  <si>
    <t>Gangbaar</t>
  </si>
  <si>
    <t>Melkvee</t>
  </si>
  <si>
    <t>GVE</t>
  </si>
  <si>
    <t>Meest voorkomend bodemtype</t>
  </si>
  <si>
    <t>Zand</t>
  </si>
  <si>
    <t>Areaal blijvend grasland</t>
  </si>
  <si>
    <t>ha</t>
  </si>
  <si>
    <t>Areaal tijdelijk grasland (excl. Grasklaver, -kruiden en -luzerne)</t>
  </si>
  <si>
    <t>Areaal grasklaver</t>
  </si>
  <si>
    <t>Areaal graskruiden</t>
  </si>
  <si>
    <t>Areaal grasluzerne</t>
  </si>
  <si>
    <t>Areaal huiskavel</t>
  </si>
  <si>
    <t>Areaal huiskavel gebruikt voor beweiding</t>
  </si>
  <si>
    <t>Areaal huiskavel geschikt voor beweiding</t>
  </si>
  <si>
    <t>Areaal bouwland</t>
  </si>
  <si>
    <t>Totaal areaal</t>
  </si>
  <si>
    <t>Score</t>
  </si>
  <si>
    <t>Advies nodig?</t>
  </si>
  <si>
    <t>Klaver</t>
  </si>
  <si>
    <t>Raadpleeg je rassenlijsten voor je zaadkeuze?</t>
  </si>
  <si>
    <t>Ja</t>
  </si>
  <si>
    <t>Welke soorten werden er naast graszaad gezaaid op je graslanden (vink aan)?</t>
  </si>
  <si>
    <t>Witte klaver</t>
  </si>
  <si>
    <t>Rode klaver</t>
  </si>
  <si>
    <t>Luzerne</t>
  </si>
  <si>
    <t>Kruiden</t>
  </si>
  <si>
    <t>Wanneer zaai je conventioneel grasland ongeveer? (dd/mm/jjjj)</t>
  </si>
  <si>
    <t>Wanneer zaai je grasklaver ongeveer? (dd/mm/jjjj)</t>
  </si>
  <si>
    <t>Op welke diepte zaai je het gras ongeveer?</t>
  </si>
  <si>
    <t>1 - 1,5 cm</t>
  </si>
  <si>
    <t>Op welke diepte zaai je de klaver ongeveer?</t>
  </si>
  <si>
    <t>0,5 - 1 cm</t>
  </si>
  <si>
    <t>Neem je maatregelen tegen ontmenging bij inzaai van grasklaver/-kruiden?</t>
  </si>
  <si>
    <t>Wordt er tijdens of na het zaaien aangedrukt met een rol?</t>
  </si>
  <si>
    <t>Totaal</t>
  </si>
  <si>
    <t>Opmerkingen</t>
  </si>
  <si>
    <t>Worden er regelmatig bodemstalen genomen om uw bemesting hierop te sturen?</t>
  </si>
  <si>
    <t>Stuurt u de pH, o.b.v. deze resultaten, bij met bekalken?</t>
  </si>
  <si>
    <t>Welke pH waarde probeert u aan te houden?</t>
  </si>
  <si>
    <t>7 - 7,5</t>
  </si>
  <si>
    <t>Worden er meststalen genomen zodat de nutriënteninhoud bekend is?</t>
  </si>
  <si>
    <t>Met welke elementen houdt u allemaal rekening (vink aan)?</t>
  </si>
  <si>
    <t>N</t>
  </si>
  <si>
    <t>P</t>
  </si>
  <si>
    <t>K</t>
  </si>
  <si>
    <t>S</t>
  </si>
  <si>
    <t>Mg</t>
  </si>
  <si>
    <t>Ca</t>
  </si>
  <si>
    <t>Na</t>
  </si>
  <si>
    <t>Bodemtemperatuur (°C) bij eerste mestgift?</t>
  </si>
  <si>
    <t>Ammoniumgehalte van voorjaarsmeststof?</t>
  </si>
  <si>
    <t>&gt;75%</t>
  </si>
  <si>
    <t>Fractioneerd u de kaliumgift over het hele teeltseizoen?</t>
  </si>
  <si>
    <t>Voorziet u de zwavelgift vooral in het voorjaar?</t>
  </si>
  <si>
    <t>Houdt u rekening met de weersvoorspelling en de waterhuishouding van het perceel?</t>
  </si>
  <si>
    <t>Past u de bemesting aan bij grasklaver of kruidenrijk grasland t.o.v. conventioneel grasland?</t>
  </si>
  <si>
    <t>Past u de bemesting aan in het eerste jaar na zaai?</t>
  </si>
  <si>
    <t>Nee</t>
  </si>
  <si>
    <t>Verdund u de drijfmest?</t>
  </si>
  <si>
    <t>Wijzigt u de grootte van de bemestingsgift o.b.v. de verwachte opbrengst van de snede?</t>
  </si>
  <si>
    <t>Wanneer voorziet u de laatste drijfmestgift?</t>
  </si>
  <si>
    <t>Voor 1 juli</t>
  </si>
  <si>
    <t>Hoeveel kg N wordt er gebracht per ha?</t>
  </si>
  <si>
    <t>Zonnestraaldiagram</t>
  </si>
  <si>
    <t>Bewerkt land</t>
  </si>
  <si>
    <t>Blijvend grasland</t>
  </si>
  <si>
    <t>Tijdelijk grasland</t>
  </si>
  <si>
    <t>Grasklaver</t>
  </si>
  <si>
    <t>Graskruiden</t>
  </si>
  <si>
    <t>Grasluzerne</t>
  </si>
  <si>
    <t>Bouwland</t>
  </si>
  <si>
    <t>Radargrafiek</t>
  </si>
  <si>
    <t>Thema's</t>
  </si>
  <si>
    <t>Kwaliteit graskuil</t>
  </si>
  <si>
    <t>In- en uitkuilen</t>
  </si>
  <si>
    <t>Graslandonderhoud</t>
  </si>
  <si>
    <t>Weidegang</t>
  </si>
  <si>
    <t>Waterhuishouding</t>
  </si>
  <si>
    <t>Gemiddeld</t>
  </si>
  <si>
    <t>Scores naar % van optimale score</t>
  </si>
  <si>
    <t>Zaai</t>
  </si>
  <si>
    <t>Adviezen/tips</t>
  </si>
  <si>
    <t>Zaaidatum</t>
  </si>
  <si>
    <t>Max</t>
  </si>
  <si>
    <t>Groen</t>
  </si>
  <si>
    <t>Oranje</t>
  </si>
  <si>
    <t>Rood</t>
  </si>
  <si>
    <t>Gras</t>
  </si>
  <si>
    <t>Zaaidiepte</t>
  </si>
  <si>
    <t>Zaaizaad</t>
  </si>
  <si>
    <t>Rassenlijst</t>
  </si>
  <si>
    <t xml:space="preserve">Rode klaver </t>
  </si>
  <si>
    <t>Nutriëntenbeheer</t>
  </si>
  <si>
    <t>Bodemstaal genomen</t>
  </si>
  <si>
    <t>Meststalen genomen</t>
  </si>
  <si>
    <t>pH</t>
  </si>
  <si>
    <t>4 - 4,5</t>
  </si>
  <si>
    <t>4,5 - 5</t>
  </si>
  <si>
    <t>5 - 5,5</t>
  </si>
  <si>
    <t>5,5 - 6</t>
  </si>
  <si>
    <t>6 - 6,5</t>
  </si>
  <si>
    <t>6,5 - 7</t>
  </si>
  <si>
    <t>7,5 - 8</t>
  </si>
  <si>
    <t>Elementen</t>
  </si>
  <si>
    <t>Oogst</t>
  </si>
  <si>
    <t>Scoring systeem</t>
  </si>
  <si>
    <t>Type vraag</t>
  </si>
  <si>
    <t>Antwoorden + scoring</t>
  </si>
  <si>
    <t>Max score</t>
  </si>
  <si>
    <t>Adviezen als suboptimaal</t>
  </si>
  <si>
    <t>Adviezen meegenomen</t>
  </si>
  <si>
    <t>Ja/Nee</t>
  </si>
  <si>
    <t xml:space="preserve">Een rassenlijst kan helpen bij het maken van de meest geschikte zaadkeuze voor je perceel. Door veredeling worden er nog altijd nieuwe, beter presterende rassen ontwikkeld. </t>
  </si>
  <si>
    <t>Checkbox</t>
  </si>
  <si>
    <t xml:space="preserve">Klavers kunnen de stikstofefficiëntie van je grasland sterk verhogen wanneer deze naar behoren worden beheerd. </t>
  </si>
  <si>
    <t xml:space="preserve">Overweeg om ook eens kruiden op te nemen in je zaaimengsel. Net zoals klavers  zijn er heel wat kruiden die kunnen bijdragen aan het klimaatrobuuster maken van je grasland. </t>
  </si>
  <si>
    <t>Wanneer zaai je conventioneel grasland ongeveer? (dd/mm)</t>
  </si>
  <si>
    <t>Datumreeks</t>
  </si>
  <si>
    <t>Najaarszaai</t>
  </si>
  <si>
    <t>voor</t>
  </si>
  <si>
    <t xml:space="preserve">Idealieter wordt grasland ingezaaid van augustus tot oktober. Het succes zal echter afhankelijk zijn van de temperatuur en neerslag in de periode na het zaaien. </t>
  </si>
  <si>
    <t>Voorjaarszaai</t>
  </si>
  <si>
    <t xml:space="preserve">Voorjaarszaai is een mogelijkheid, maar wordt omwille van de onkruiddruk en de steeds vaker voorkomende droge groeiomstandigheden in het voorjaar best als 2de keuze gezien. </t>
  </si>
  <si>
    <t>Wanneer zaai je grasklaver ongeveer? (dd/mm)</t>
  </si>
  <si>
    <t>Keuzelijst</t>
  </si>
  <si>
    <t>0 - 0,5 cm</t>
  </si>
  <si>
    <t>1,5 - 2 cm</t>
  </si>
  <si>
    <t>2 - 2,5 cm</t>
  </si>
  <si>
    <t>2,5 - 3 cm</t>
  </si>
  <si>
    <t xml:space="preserve">Gras wordt best gezaaid op een diepte van 1 - 2 cm. </t>
  </si>
  <si>
    <t xml:space="preserve">Zaai klaver liefst op 0,5 - 1 cm diepte. Dieper zaaien dan 1,5 cm zal het opkomstpercentage snel doen dalen. </t>
  </si>
  <si>
    <t xml:space="preserve">Door verschillen in vorm en soortelijk gewicht van zaad, kan er ontmenging optreden. Hierdoor zullen er delen van het perceel ingezaaid zijn met zeer weinig klaver (of kruiden) terwijl er op andere delen is ingezaaid met vooral klaver en weinig gras. Dit moet voorkomen worden om optimaal te profiteren van het nut van een dergelijke mengteelt. </t>
  </si>
  <si>
    <t xml:space="preserve">Het aandrukken met een rol na het zaaien, helpt het contact tussen het zaad en de bodem te verhogen wat zorgt voor een betere vochtbeschikbaarheid en kleinere kans op wegwaaien. Eveneens zorgt dit ervoor dat de bodem minder snel uitdroogd. </t>
  </si>
  <si>
    <t>Hoogste score Zaai</t>
  </si>
  <si>
    <t>Hoogste score zonder klaver Zaai</t>
  </si>
  <si>
    <t>Worden er regelmatig bodemstalen genomen?</t>
  </si>
  <si>
    <t xml:space="preserve">Zonder recente bodemanalyse weten we niet wat er toegediend moet worden om het volle potentieel uit het grasland te halen. </t>
  </si>
  <si>
    <t xml:space="preserve">De zuurtegraad van de bodem bepaalt in grote mate de plantbeschikbaarheid van heel wat mineralen en is eveneens belangrijk voor een goede stikstoffixatie door vlinderbloemigen zoals klaver. </t>
  </si>
  <si>
    <t xml:space="preserve">De zuurtegraad ligt op zandgrond best tussen 5,2 en 5,6. </t>
  </si>
  <si>
    <t>Zandleem</t>
  </si>
  <si>
    <t xml:space="preserve">De zuurtegraad ligt op zandleem best tussen 6,2 en 6,6. </t>
  </si>
  <si>
    <t>Leem</t>
  </si>
  <si>
    <t xml:space="preserve">De zuurtegraad ligt op leem best tussen 6,7 en 7,3. </t>
  </si>
  <si>
    <t>Klei</t>
  </si>
  <si>
    <t xml:space="preserve">De zuurtegraad ligt op kleigrond best tussen 7,2 en 7,7. </t>
  </si>
  <si>
    <t xml:space="preserve">Stikstof (N) is één van de voornaamste elementen voor de grasgroei en bepaalt in grote mate de mogelijke eiwitproductie. </t>
  </si>
  <si>
    <t xml:space="preserve">Fosfor (P) heeft een sterke invloed op de grasgroei en tekorten kunnen leiden tot verwelking en paarskleuring. Heel wat gronden zijn nog rijk aan fosfor door historische bemesting. Tekorten moeten echter ten alle tijden voorkomen worden. </t>
  </si>
  <si>
    <t xml:space="preserve">Kalium (K) is belangrijk voor een optimale opbrengst, maar helpt de plant eveneens extremere periodes (droogte, hitte maar ook koude) beter overbruggen. Vaak kan er niet aan de kali-vraag voldaan worden met enkel de aanvoer van drijfmest. </t>
  </si>
  <si>
    <t xml:space="preserve">Zwavel (S) heeft een grote invloed op de eiwitproductie door gras. Je kan er dus best voldoende rekening mee houden. </t>
  </si>
  <si>
    <t xml:space="preserve">Magnesium (Mg) vormt de centrale kern van de chlorofylmolecule in het plantenweefsel. Door tekorten zal de fotosynthese dus ook sterk geremd worden. Houdt echter ook voldoende rekening met de verhouding Mg t.o.v. K, daar deze elementen elkaar verdringen. Vermijd zo ook kopziekte bij uw vee. </t>
  </si>
  <si>
    <t xml:space="preserve">Natrium (Na) is vooral belangrijk naar smakelijkheid van het gras en kan dus de opname helpen verhogen. Verder kan natrium de weerstand tegen droogte helpen verhogen. </t>
  </si>
  <si>
    <t>Cijfermatig</t>
  </si>
  <si>
    <t>Lager dan</t>
  </si>
  <si>
    <t>+</t>
  </si>
  <si>
    <t xml:space="preserve">Bij een bodemtemperatuur onder 5°C vindt er nagenoeg geen mineralisatie en grasgroei plaats. Daarom kan er beter gewacht worden tot deze bereikt is om de kans op uitspoeling van nutriënten te beperken.  </t>
  </si>
  <si>
    <t>&gt;45%</t>
  </si>
  <si>
    <t>&gt;55%</t>
  </si>
  <si>
    <t>&gt;65%</t>
  </si>
  <si>
    <t>&gt;85%</t>
  </si>
  <si>
    <t xml:space="preserve">Bij lagere temperaturen in het voorjaar is zwavel niet goed beschikbaar voor het gras, zelfs wanneer er nog voldoende aanwezig is in de bodem. Gras heeft echter dan ook al voldoende zwavel nodig om optimaal te groeien en eiwitten aan te maken. </t>
  </si>
  <si>
    <t>Past u de bemesting aan bij grasklaver en kruidenrijk grasland t.o.v. conventioneel grasland?</t>
  </si>
  <si>
    <t xml:space="preserve">De behoefte van grasklaver, graskruiden en conventioneel grasland zijn niet volledig hetzelfde. Denk zo maar aan de capaciteit van klavers om stikstof te fixeren, terwijl gras minder strenge eisen stelt aan de pH van de bodem. </t>
  </si>
  <si>
    <t xml:space="preserve">Bij een recent ingezaaid perceel, wordt berijding met al te zware machines liefst zo veel mogelijk vermeden. Houdt hier dus ook rekening mee bij het bemesten. </t>
  </si>
  <si>
    <t xml:space="preserve">Er worden heel wat voordelen toegekend aan het verdunnen van drijfmest, die dit het overwegen waard maken. Enkele zijn: minder besmeuring van het gras, meer grasopbrengst, minder ammoniakemissie, minder verbranding, betere indringing enzovoort. Natuurlijk is er wel steeds een correcte mestanalyse nodig en zal er eveneens meer m³ uitgereden moeten worden. </t>
  </si>
  <si>
    <t>Voor 15 juli</t>
  </si>
  <si>
    <t>Voor 1 augustus</t>
  </si>
  <si>
    <t>Voor 15 augustus</t>
  </si>
  <si>
    <t>Hoogste score Nutriëntenbeheer</t>
  </si>
  <si>
    <t>Hoogste score zonder klaver Nutriëntenbeheer</t>
  </si>
  <si>
    <t>Wordt de maaier tijdig nagekeken en onderhouden?</t>
  </si>
  <si>
    <t>Waarmee houdt u rekening bij het beslissen van het juiste maaitijdstip?</t>
  </si>
  <si>
    <t>Weer</t>
  </si>
  <si>
    <t>Zwaarte snede/grashoogte</t>
  </si>
  <si>
    <t>Aarvorming</t>
  </si>
  <si>
    <t>Hoeveel weken laat u minstens tussen een bemestingsbeurt en het maaien?</t>
  </si>
  <si>
    <t>1 week</t>
  </si>
  <si>
    <t>2 weken</t>
  </si>
  <si>
    <t>3 weken</t>
  </si>
  <si>
    <t>4 weken</t>
  </si>
  <si>
    <t>&gt; 4 weken</t>
  </si>
  <si>
    <t>Welke maaihoogte houdt u aan op uw grasland?</t>
  </si>
  <si>
    <t>4 - 5 cm</t>
  </si>
  <si>
    <t>5 - 6 cm</t>
  </si>
  <si>
    <t>6 - 7 cm</t>
  </si>
  <si>
    <t>7 - 8 cm</t>
  </si>
  <si>
    <t>8 - 9 cm</t>
  </si>
  <si>
    <t>9 - 10 cm</t>
  </si>
  <si>
    <t xml:space="preserve">Dieper maaien dan 6 cm heeft nadelen voor de hergroei van de zode. Enkel in zodes waarin men het aandeel witte klaver wil verhogen, kan maaien op 5 cm helpen. </t>
  </si>
  <si>
    <t>Maait u hoger indien rode klaver en kruiden met hoger groeipunt aanwezig zijn in de zode?</t>
  </si>
  <si>
    <t xml:space="preserve">Rode klaver en verschillende kruiden worden best nog hoger gemaaid dan het engelse raaigras. Hou eerder 8 - 10 cm aan zodat deze klavers en kruiden voldoende in de zode blijven. </t>
  </si>
  <si>
    <t>Schud u het gras meestal vaker dan 1 keer?</t>
  </si>
  <si>
    <t xml:space="preserve">Soms kan meer dan 1 keer schudden nodig zijn om de veldperiode te verkorten en het gras toch voldoende droog en uniform binnen te halen. Een extra schudbeurt kost echter extra arbeid en brandstof en verhoogt het risico op extra veldverliezen. </t>
  </si>
  <si>
    <t xml:space="preserve">Neemt u maatregelen om bladverlies van klaver of kruiden te verminderen? </t>
  </si>
  <si>
    <t xml:space="preserve">Bladverlies kan je best zo veel mogelijk voorkomen. Hierdoor gaat dan ook veel eiwit verloren. Minder schudden en aan een lager toerental kan helpen. Eveneens kan werken met een bandhark helpen bladverliezen te verlagen. </t>
  </si>
  <si>
    <t>Wat is de duur van de veldperiode (maaien tot oprapen)?</t>
  </si>
  <si>
    <t>&lt; 1 dag</t>
  </si>
  <si>
    <t>1 dag</t>
  </si>
  <si>
    <t>2 dagen</t>
  </si>
  <si>
    <t>3 dagen</t>
  </si>
  <si>
    <t>&gt; 3 dagen</t>
  </si>
  <si>
    <t xml:space="preserve">Best beperk je de veldperiode tot 2 dagen. Een langere veldperiode heeft een negatieve impact op de hergroei van de zode en zorgt ook voor een lagere voederwaarde. </t>
  </si>
  <si>
    <t>Welk DS-gehalte streeft u na?</t>
  </si>
  <si>
    <t>25-30%</t>
  </si>
  <si>
    <t>30-35%</t>
  </si>
  <si>
    <t>35-40%</t>
  </si>
  <si>
    <t>40-45%</t>
  </si>
  <si>
    <t>45-50%</t>
  </si>
  <si>
    <t>50-55%</t>
  </si>
  <si>
    <t>55-60%</t>
  </si>
  <si>
    <t>Hoeveel snedes neem je gemiddeld per jaar?</t>
  </si>
  <si>
    <t>Welke opbrengst behaal  je gemiddeld per jaar (kg DS/ha)?</t>
  </si>
  <si>
    <t>Hoogste score Oogst</t>
  </si>
  <si>
    <t>Hoogste score zonder klaver Oogst</t>
  </si>
  <si>
    <t>Wordt er aan beweiding gedaan?</t>
  </si>
  <si>
    <t xml:space="preserve">Spijtig dat je niet aan beweiding doet. Dit bied toch enkele voordelen zowel economisch als maatschappelijk gezien. Denk zo maar aan de hogere voederwaarde van vers gras, lagere voerkosten en het positieve effect op dierenwelzijn en het imago van de landbouw. Beweiding heeft echter een relatief grote impact op de bedrijfsvoering en is niet op ieder bedrijf even eenvoudig te implementeren. Bij bedrijven met een kleine huiskavel is dit al snel moeilijker. </t>
  </si>
  <si>
    <t>Welke diergroepen doen aan beweiden? (Vink aan)</t>
  </si>
  <si>
    <t>Wat is de maximale loopafstand voor de koeien tot de weide (m)?</t>
  </si>
  <si>
    <t>Wat is de maximale afstand die de koe moet afleggen tot de dichtstbijzijnde drinkbak (m)?</t>
  </si>
  <si>
    <t xml:space="preserve">Best voorzien we voldoende drinkbakken in de weide, die overigens ten allen tijde binnen een afstand van 200m liggen. </t>
  </si>
  <si>
    <t>Zijn er voldoende schaduwplekken beschikbaar om hittestress helpen te voorkomen?</t>
  </si>
  <si>
    <t xml:space="preserve">Hittestress kan best voorkomen worden voor de productiviteit, maar zeker ook de gezondheid van het vee. </t>
  </si>
  <si>
    <t>Aantal GVE/ha huiskavel gebruikt voor beweiding</t>
  </si>
  <si>
    <t>AutomatischCijfermatig</t>
  </si>
  <si>
    <t>&lt;</t>
  </si>
  <si>
    <t>Aantal GVE/ha huiskavel geschikt voor beweiding</t>
  </si>
  <si>
    <t>Hoogste score Weidegang</t>
  </si>
  <si>
    <t>Hoeveel gras zit er gemiddeld in het rantsoen (kg DS/dag)?</t>
  </si>
  <si>
    <t>Evalueert u (eventueel samen met een adviseur) iedere kuilanalyse om eventuele aandachtspunten op te sporen?</t>
  </si>
  <si>
    <t>Wat is het %DS van de graskuil?</t>
  </si>
  <si>
    <t>DS=25*pH-80</t>
  </si>
  <si>
    <t>Wat is de pH van de graskuil?</t>
  </si>
  <si>
    <t>Wat is de NH3-fractie van de graskuil?</t>
  </si>
  <si>
    <t>&gt;12</t>
  </si>
  <si>
    <t xml:space="preserve">De ammoniakfractie zit best onder de 5. Hogere ammoniakfracties (zeker wanneer hoger dan 12) duiden op een slechte conservering en afbraak van hoogwaardig eiwit. </t>
  </si>
  <si>
    <t>Wat is het gehalte ruw as in de graskuil?</t>
  </si>
  <si>
    <t>Hoogste score Kwaliteit graskuil</t>
  </si>
  <si>
    <t>In-uitkuilen</t>
  </si>
  <si>
    <t>Is de aanrijroute naar de kuil zuiver?</t>
  </si>
  <si>
    <t xml:space="preserve">Door de aanrijroute zuiver te houden, komt er minder grond en nefaste micro-organismen in de kuil terecht. </t>
  </si>
  <si>
    <t>Kan de aanvoersnelheid worden bijgehouden met het aanrijden van de kuil?</t>
  </si>
  <si>
    <t xml:space="preserve">Liefst is de aanvoersnelheid (ton/uur) maar de helft van het gewicht op de kuil. </t>
  </si>
  <si>
    <t>Komt er enkel zuivere/nieuwe plastic in contact met het gras?</t>
  </si>
  <si>
    <t xml:space="preserve">Oude plastic kan steeds gecontamineerd zijn met grond en ongewenste micro-organismen. </t>
  </si>
  <si>
    <t>Wordt er met een lasagnekuil gewerkt?</t>
  </si>
  <si>
    <t>Worden er inkuilmiddelen/inoculanten/broeiremmers gebruikt bij ongunstige omstandigheden?</t>
  </si>
  <si>
    <t xml:space="preserve">Inkuilmiddelen helpen de kwaliteit van de graskuil veilig te stellen. Onder ideale omstandigheden zijn deze niet nodig en zorgt een goed conserveringsproces hier al voor, maar bij zeer nat of eiwitrijk gras is het vaak toch een wijze beslissing om ervan gebruik te maken. </t>
  </si>
  <si>
    <t>Wordt de graskuil binnen 2 uur na inkuilen afgedekt?</t>
  </si>
  <si>
    <t xml:space="preserve">Door je kuil snel af te dekken, kan het conserveringsproces sneller van start gaan en wordt broei zo veel mogelijk voorkomen. </t>
  </si>
  <si>
    <t>Gebruikt u zowel onderfolie als afdekfolie op de kuil?</t>
  </si>
  <si>
    <t>Worden balen binnen 1 uur na persen gewikkeld?</t>
  </si>
  <si>
    <t xml:space="preserve">Net zoals het snel dichtleggen van de graskuil, worden balen best zo snel mogelijk na persen gewikkeld zodat het conserveringsproces van start kan gaan. </t>
  </si>
  <si>
    <t>Wordt er steeds een dekzeil over de balen gelegd?</t>
  </si>
  <si>
    <t xml:space="preserve">Een dekzeil over de balen leggen helpt schade door o.a. vogels te voorkomen. </t>
  </si>
  <si>
    <t>Na hoeveel weken wordt de kuil ten vroegste geopend?</t>
  </si>
  <si>
    <t>Keuzelijsten</t>
  </si>
  <si>
    <t>Na 4 weken</t>
  </si>
  <si>
    <t>Na 5 weken</t>
  </si>
  <si>
    <t>Na 6 weken</t>
  </si>
  <si>
    <t>Na 7 weken</t>
  </si>
  <si>
    <t>Na 8 weken</t>
  </si>
  <si>
    <t>Na &gt; 8 weken</t>
  </si>
  <si>
    <t xml:space="preserve">Er kan best minstens 6 weken gewacht worden met het openen van een kuil. </t>
  </si>
  <si>
    <t>Laat u een strak snijvlak achter na bij uitkuilen?</t>
  </si>
  <si>
    <t xml:space="preserve">Door een strak snijvlak achter te laten, zorgt u voor zo weinig mogelijk luchtintreding wat broei helpt beperken en voederkwaliteit ten goede komt. </t>
  </si>
  <si>
    <t>Is de voersnelheid van de kuil voldoende hoog om broei te voorkomen?</t>
  </si>
  <si>
    <t xml:space="preserve">Er kan best een voersnelheid van minimaal 1,5 m per week worden aangehouden om broei te voorkomen. In de zomer mag dit zelfs liefst meer dan 2 m per week bedragen. </t>
  </si>
  <si>
    <t>Worden uitkuilresten bij de kuilopslag verwijderd?</t>
  </si>
  <si>
    <t>Hoeveel keer per week leg je de kuil verder open?</t>
  </si>
  <si>
    <t xml:space="preserve">Door de kuil meerdere keren per week verder open te leggen, moet er geen te groot deel worden opengelegd. Hierdoor kan er minder snel zuurstof in de kuil komen, wat anders broei in de hand speelt. </t>
  </si>
  <si>
    <t>Is er afwatering voorzien voor de kuilopslag?</t>
  </si>
  <si>
    <t>Hoogste score In-uitkuilen</t>
  </si>
  <si>
    <t>Beoordeelt u uw graszode geregeld? (hoeveel onkruid, slechte grassen, molshopen, klaveraandeel?)</t>
  </si>
  <si>
    <t xml:space="preserve">Zonder het geregeld beoordelen van uw zode weet u niet goed wat er gaande is op uw percelen en kan u dus ook niet tijdig ingrijpen met alle gevolgen vandien (lagere opbrengst, lagere voederwaarde, …). </t>
  </si>
  <si>
    <t>Voert u indien nodig een chemische onkruidbestrijding uit op grasland?</t>
  </si>
  <si>
    <t xml:space="preserve">In sommige gevallen is een chemische onkruidbestrijding aan te raden om de de kwaliteit van de zode, en daarmee ook de opbrengst en voederwaarde veilig te stellen. Bij correct graslandbeheer zal een chemische bestrijding echter niet vaak nodig zijn en kan eventueel ook eerst gekeken worden naar mechanische oplossingen. </t>
  </si>
  <si>
    <t>Doet u dit vollevelds of plaatsspecifiek indien mogelijk?</t>
  </si>
  <si>
    <t xml:space="preserve">Een plaatsspecifieke behandeling is altijd interessant omwille van het lager gebruik aan gewasbeschermingsmiddelen en kan bij aanwezigheid van gewenste klavers/kruiden eveneens helpen deze te sparen. </t>
  </si>
  <si>
    <t>Voert u soms mechanische onkruidbestrijding uit op grasland (bv. wiedeggen, bloten,...)?</t>
  </si>
  <si>
    <t xml:space="preserve">Sommige onkruiden kunnen ook bestreden worden met een wiedeg of kan de verspreiding tegengehouden worden door het tijdig bloten van de weide. </t>
  </si>
  <si>
    <t>Doet u aan doorzaaien bij open plekken, een open zode of na mechanische onkruidbestrijding?</t>
  </si>
  <si>
    <t>Onder welk percentage moet het aandeel goede grassen(, klavers en kruiden) dalen voor je het grasland scheurt?</t>
  </si>
  <si>
    <t>&gt;</t>
  </si>
  <si>
    <t xml:space="preserve">Van zodra het aandeel goede grassen en klavers onder 60% dreigt te dalen is het tijd om het grasland te scheuren. </t>
  </si>
  <si>
    <t>Neemt u maatregelen om bodemverdichting te voorkomen? (bv. rekening houden met draagkracht grond of aangepaste bandendruk)</t>
  </si>
  <si>
    <t>Doet u aan mollenbestrijding?</t>
  </si>
  <si>
    <t xml:space="preserve">Wanneer er niet aan mollenbestrijding wordt gedaan, riskeert men extra grondverontreiniging bij het oogsten met negatieve impact op de voederkwaliteit. Eveneens bieden molshopen kansen aan onkruiden om zich te vestigen. </t>
  </si>
  <si>
    <t>Hoe lang laat u het grasland de winter ingaan?</t>
  </si>
  <si>
    <t>&lt;7 cm</t>
  </si>
  <si>
    <t>7 cm</t>
  </si>
  <si>
    <t>8-10 cm</t>
  </si>
  <si>
    <t>10-12 cm</t>
  </si>
  <si>
    <t>&gt;12 cm</t>
  </si>
  <si>
    <t>Hoogste score Graslandonderhoud</t>
  </si>
  <si>
    <t>Beregent u indien nodig?</t>
  </si>
  <si>
    <t>Wat is dan het hoofddoel van deze beregening?</t>
  </si>
  <si>
    <t>Meeropbrengst</t>
  </si>
  <si>
    <t>Kwaliteit graszode veiligstellen</t>
  </si>
  <si>
    <t>Beweiding mogelijk houden</t>
  </si>
  <si>
    <t>Benutting meststoffen</t>
  </si>
  <si>
    <t xml:space="preserve">Beregening van grasland kan zeker zorgen voor een meeropbrengst, maar nog te vaak weegt de kostprijs van beregening niet op tegenover de haalbare meeropbrengst. Beregening om een blijvende achteruitgang van de graszode te voorkomen, houdt vaak een grotere meerwaarde in door het voorkomen van noodzakelijk scheuren. </t>
  </si>
  <si>
    <t>Heeft u last van plasvorming?</t>
  </si>
  <si>
    <t>Probeert u dit aan te pakken door bv. graslandwoelen, drainering, ...?</t>
  </si>
  <si>
    <t xml:space="preserve">Plasvorming heeft uiteraard een negatieve impact op de graszode en productiviteit zelf, maar werkt ook een slechte bodemstructuur in de hand. Bodemverdichting is echter vaak ook een deel van de oorzaak en kan worden tegengegaan met een graslandwoeler. </t>
  </si>
  <si>
    <t>Hebt u gedraineerde graslandpercelen?</t>
  </si>
  <si>
    <t>Zijn deze drainages voornamelijk peilgestuurd waar mogelijk?</t>
  </si>
  <si>
    <t xml:space="preserve">Peilgestuurde drainage biedt grote voordelen naar het waterbeheer. Bij droogte kan de drainerende werking worden stopgezet, terwijl er bij te natte omstandigheden kan gedraineerd worden om veldwerkzaamheden mogelijk te maken. </t>
  </si>
  <si>
    <t>Wordt er bij de zaaizaadkeuze ook rekening gehouden met de overheersende waterhuishouding?</t>
  </si>
  <si>
    <t xml:space="preserve">Sommige grassoorten kunnen zich beter handhaven bij droogte dan Engels raaigras denk maar aan rietzwenkgras. Ook rode klaver kan op drogere percelen zeker een meerwaarde bieden. Door een geschikt zaaimengsel te kiezen kan de opbrengst van het perceel worden geoptimaliseerd. </t>
  </si>
  <si>
    <t>Hoogste score Waterhuishouding</t>
  </si>
  <si>
    <t>Afhankelijk van aanwezigheid klavers best zo weinig mogelijk. Ook qua kost van bewerkingen liefst zo weinig mogelijk &lt;&gt; bewaken kwaliteit ruwvoer</t>
  </si>
  <si>
    <t>Wat is teveel en wat te weinig?</t>
  </si>
  <si>
    <t>Welk soort beweidingssysteem gebruikt u?</t>
  </si>
  <si>
    <t>Standweiden - modern</t>
  </si>
  <si>
    <t>Moeilijk zo te scoren? Wat is goed en wat slecht?</t>
  </si>
  <si>
    <t>Wat is de NH3-fractie (%) van de graskuil?</t>
  </si>
  <si>
    <t>Wat is het gehalte ruw as (g/kg) in de graskuil?</t>
  </si>
  <si>
    <t>minstens 1m per week, best 1,5 en in zomer zelfs +2 m/week -&gt; keuzelijst en als vraag voersnelheid?</t>
  </si>
  <si>
    <t>Vollevelds</t>
  </si>
  <si>
    <t>Wordt er grasland beregend bij droogte?</t>
  </si>
  <si>
    <t>Zaaitijdstip</t>
  </si>
  <si>
    <t>pH-waarde</t>
  </si>
  <si>
    <t>Maaihoogte</t>
  </si>
  <si>
    <t>Veldperiode</t>
  </si>
  <si>
    <t>Beweidingstypes</t>
  </si>
  <si>
    <t>Tijd bemesting tot maaien</t>
  </si>
  <si>
    <t>DS-gehalte</t>
  </si>
  <si>
    <t>Aantal</t>
  </si>
  <si>
    <t>scoring</t>
  </si>
  <si>
    <t>advies thema</t>
  </si>
  <si>
    <t>Algemeen advies</t>
  </si>
  <si>
    <t>Tijd tot openen kuil</t>
  </si>
  <si>
    <t>Temperatuur</t>
  </si>
  <si>
    <t>Laatste drijfmestgift</t>
  </si>
  <si>
    <t>Ammoniumgehalte</t>
  </si>
  <si>
    <t>Onkruidbestrijding</t>
  </si>
  <si>
    <t>Bodemtype</t>
  </si>
  <si>
    <t>Gangbaar/Biologisch</t>
  </si>
  <si>
    <t>Doel beregening</t>
  </si>
  <si>
    <t>Omweiden - rantsoenbeweiding</t>
  </si>
  <si>
    <t>Vleesvee</t>
  </si>
  <si>
    <t>Omweiden - stripgrazen</t>
  </si>
  <si>
    <t>Plaatsspecifiek indien mogelijk</t>
  </si>
  <si>
    <t>Biologisch</t>
  </si>
  <si>
    <t>Standweiden - klassiek</t>
  </si>
  <si>
    <t xml:space="preserve">Er zijn nog heel wat verbeterpunten binnen dit thema. Hopelijk helpen de onderstaande tips je verder. </t>
  </si>
  <si>
    <t xml:space="preserve">Je bent niet geslaagd, dit moet beter. Hopelijk helpen de onderstaande tips je verder. </t>
  </si>
  <si>
    <t>Standweiden - roterend</t>
  </si>
  <si>
    <t>ABC weiden</t>
  </si>
  <si>
    <t>ABS weiden</t>
  </si>
  <si>
    <t>ASS weiden</t>
  </si>
  <si>
    <t>Kurzrasenweiden</t>
  </si>
  <si>
    <t>Goed</t>
  </si>
  <si>
    <t>Voor</t>
  </si>
  <si>
    <t>Tijd bemesten-maaien</t>
  </si>
  <si>
    <t>Aantal keer schudden</t>
  </si>
  <si>
    <t>Afstand tot weide</t>
  </si>
  <si>
    <t>Afstand tot drinkbak</t>
  </si>
  <si>
    <t>Schaduw</t>
  </si>
  <si>
    <t>Blij</t>
  </si>
  <si>
    <t>Boos</t>
  </si>
  <si>
    <t>DS</t>
  </si>
  <si>
    <t>Slecht</t>
  </si>
  <si>
    <t>Lichtgroen</t>
  </si>
  <si>
    <t>NH4-fractie</t>
  </si>
  <si>
    <t>Ruw as</t>
  </si>
  <si>
    <t>Laat u een strak snijvlak achter na het uitkuilen?</t>
  </si>
  <si>
    <t>Hygiëne</t>
  </si>
  <si>
    <t>Aanrijroute</t>
  </si>
  <si>
    <t>Zuivere plastic</t>
  </si>
  <si>
    <t>Strak snijvlak</t>
  </si>
  <si>
    <t>Uitkuilresten verwijderd</t>
  </si>
  <si>
    <t>Afwatering</t>
  </si>
  <si>
    <t>Aanvoersnelheid en aanrijvermogen</t>
  </si>
  <si>
    <t>Tijd tot afdekken/wikkelen</t>
  </si>
  <si>
    <t>Beoordeling zode</t>
  </si>
  <si>
    <t>%goed grassen</t>
  </si>
  <si>
    <t>Beoordeling</t>
  </si>
  <si>
    <t>Chemisch</t>
  </si>
  <si>
    <t>Plaatselijk?</t>
  </si>
  <si>
    <t>Doorzaai</t>
  </si>
  <si>
    <t>Mechanisch</t>
  </si>
  <si>
    <t>Mollenbestrijding</t>
  </si>
  <si>
    <t>Neemt u maatregelen om insporing en bodemverdichting te voorkomen? (bv. rekening houden met draagkracht grond of aangepaste bandendruk)</t>
  </si>
  <si>
    <t>Voorkomen insporing &amp; bodemverdichting</t>
  </si>
  <si>
    <t>Wordt er gebruik gemaakt van stuwtjes in naastgelegen perceelsgrachten waar mogelijk?</t>
  </si>
  <si>
    <t>Net zoals peilgestuurde drainage helpen stuwtjes overmatige waterafvoer te voorkomen en kunnen ze helpen droogteproblematiek uit te stellen.</t>
  </si>
  <si>
    <t>Beregening</t>
  </si>
  <si>
    <t>Peilsturing</t>
  </si>
  <si>
    <t>Dynamische zaaizaadkeuze</t>
  </si>
  <si>
    <t>Drainage</t>
  </si>
  <si>
    <t>Stuwtje</t>
  </si>
  <si>
    <r>
      <rPr>
        <b/>
        <sz val="11"/>
        <color theme="0"/>
        <rFont val="Aptos Narrow"/>
        <family val="2"/>
        <scheme val="minor"/>
      </rPr>
      <t>N</t>
    </r>
    <r>
      <rPr>
        <sz val="11"/>
        <color theme="0"/>
        <rFont val="Aptos Narrow"/>
        <family val="2"/>
        <scheme val="minor"/>
      </rPr>
      <t>utriëntenbeheer</t>
    </r>
  </si>
  <si>
    <r>
      <rPr>
        <b/>
        <sz val="11"/>
        <color theme="0"/>
        <rFont val="Aptos Narrow"/>
        <family val="2"/>
        <scheme val="minor"/>
      </rPr>
      <t>O</t>
    </r>
    <r>
      <rPr>
        <sz val="11"/>
        <color theme="0"/>
        <rFont val="Aptos Narrow"/>
        <family val="2"/>
        <scheme val="minor"/>
      </rPr>
      <t>ogst</t>
    </r>
  </si>
  <si>
    <r>
      <rPr>
        <b/>
        <sz val="11"/>
        <color theme="0"/>
        <rFont val="Aptos Narrow"/>
        <family val="2"/>
        <scheme val="minor"/>
      </rPr>
      <t>Z</t>
    </r>
    <r>
      <rPr>
        <sz val="11"/>
        <color theme="0"/>
        <rFont val="Aptos Narrow"/>
        <family val="2"/>
        <scheme val="minor"/>
      </rPr>
      <t>aai</t>
    </r>
  </si>
  <si>
    <t>Vanaf welke opbrengst is er een probleem en hoe rekening houden met begraasde percelen of extensief beheerde?</t>
  </si>
  <si>
    <t xml:space="preserve">Een hoger ammoniumgehalte in de voorjaarsmeststof kan helpen uitspoeling te voorkomen en efficiëntie te verhogen. </t>
  </si>
  <si>
    <t xml:space="preserve">Je doet reeds alles binnen dit thema volgens de regels van de kunst. Doe zo voort! </t>
  </si>
  <si>
    <t xml:space="preserve">Je doet het zeker niet slecht binnen dit thema. Toch hebben we nog enkele tips die je nog meer succes kunnen bezorgen. </t>
  </si>
  <si>
    <t xml:space="preserve">Dit kan nog beter. Hieronder wat tips om je verder te helpen. </t>
  </si>
  <si>
    <t xml:space="preserve">Je bent zwaar  gebuisd op dit thema. Door onderstaande adviezen ter harte te nemen, kan je veel succesvoller worden. </t>
  </si>
  <si>
    <t xml:space="preserve">Je krijgt de maximum score voor jouw graslandbeheer. Proficiat! </t>
  </si>
  <si>
    <t xml:space="preserve">Je bent reeds goed bezig met je graslandbeheer. Er zijn echter nog enkele verbeterpunten. </t>
  </si>
  <si>
    <t xml:space="preserve">Met deze score is er nog heel wat groeipotentieel. Hieronder wat adviezen om je verder te helpen. </t>
  </si>
  <si>
    <t xml:space="preserve">Je bent zwaar  gebuisd op deze beoordeling van je graslandbeheer. Volg onderstaande adviezen dringend op! </t>
  </si>
  <si>
    <t>Idealieter wordt grasklaver reeds gezaaid in augustus - september. Klaver heeft nog iets hogere temperaturen nodig om goed te kunnen kiemen en groeien in vergelijking tot gras en moet voldoende groot de winter in kunnen gaan.</t>
  </si>
  <si>
    <t xml:space="preserve">Om goed te weten wat u juist moet/kan bemesten is het belangrijk ook te weten wat er in uw dierlijke mest zit. Zo zit drijfmest soms lager in N-inhoud vergeleken met de forfaitaire waarde. Wat dan zou betekenen dat er meer kan worden uitgereden zonder de norm te overscheiden. </t>
  </si>
  <si>
    <t xml:space="preserve">Het fractioneren van de kaliumgiften is zeer belangrijk. Kalium spoelt vrij gemakkelijk uit en moet het hele groeiseizoen goed beschikbaar zijn. </t>
  </si>
  <si>
    <t xml:space="preserve">Natuurlijk is het weer ook bij de bemesting van belang. Wanneer het langere tijd droog is heeft het weinig zin om te bemesten. Drijfmest vormt een gedroogde koek, die soms deels omhoog groeit met het gras wat tot bevuiling van de snede kan leiden. Maar ook kunstmest zal weinig beschikbaar komen voor het gewas. Bij extreme neerslag kan er juist afspoeling worden verwacht en een te nat perceel kan best niet worden bereden om verdichting en insporing te voorkomen. </t>
  </si>
  <si>
    <t xml:space="preserve">Gras doet aan luxeconsumptie van stikstof en kalium. Wat maakt dat de giften van deze nutriënten best worden gefractioneerd en afgestemd op de verwachte opbrengst, om zo efficiënt mogelijk te bemesten. </t>
  </si>
  <si>
    <t xml:space="preserve">Wanneer er te laat bemest wordt, kan dit leiden tot uitspoeling en inefficiënt gebruik van nutriënten. </t>
  </si>
  <si>
    <t xml:space="preserve">Er moet minstens 3 weken tussen de bemestingsbeurt en het maaimoment zitten. Dit zal de smakelijkheid van het gras ten goede komen en geeft het gras voldoende tijd om de stikstof op te nemen en om te zetten naar eiwit. </t>
  </si>
  <si>
    <t xml:space="preserve">Idealiter wordt er ingekuild bij 35-45% DS. Natter inkuilen geeft teveel sapverliezen en bij droger inkuilen daalt de opname en is de kuil moeilijker aan te rijden wat het risico op broei doet toenemen. Wanneer de snedes eerder stengelig zijn, kuil je liefst iets natter in en bij bladrijke snedes juist wat droger. </t>
  </si>
  <si>
    <t xml:space="preserve">Jong geleerd, is oud gedaan! Dit geldt eveneens voor beweiding. Het vee moet leren grazen en maakt zo ook kennis met de afrastering en weidepomp (voorzie best 200 weidedagen over 2 seizoenen). </t>
  </si>
  <si>
    <t xml:space="preserve">Een afstand van meer dan 2 km tot de weide is eigenlijk te veel. </t>
  </si>
  <si>
    <t xml:space="preserve">Hoge ruw as gehaltes duiden vaak op verontreiniging met grond, wat zorgt voor een lagere voederwaarde en vaak een slechtere conservering en meer boterzuurproductie. Door een zorgvuldige machineafstelling, hoger te maaien en tijdig uitgevoerde mollenbestrijding, kan u het ruw asgehalte lager houden. In geval van kruidenrijk grasland kunnen hogere gehaltes echter ook deels verklaard worden door het hogere mineralengehalte. </t>
  </si>
  <si>
    <t xml:space="preserve">Het werken met een lasagnekuil helpt de kwaliteit van de graskuil en het rantsoen stabiel te houden. </t>
  </si>
  <si>
    <t xml:space="preserve">Doorzaaien helpt de kwaliteit van de zode op peil te houden en veronkruiding van openingen in de zode tegen te gaan. Het is echter niet steeds eenvoudig om doorzaai goed te laten slagen. </t>
  </si>
  <si>
    <t xml:space="preserve">Het maaien van een najaarssnede is niet enkel belangrijk voor het winnen van extra ruwvoer. Voor grasland is het namelijk ook belangrijk dat het gras niet te lang de winter in gaat. Anders wordt de kans op vorstschade aanzienlijk groter. Een graslengte van 8 tot maximaal 10 centimeter is optimaal. Gaat het gras te kort de winter in, dan zal de hergroei in het volgende voorjaar minder vlot verlopen. </t>
  </si>
  <si>
    <t>Bodemtemperatuur (°C) bij eerste kunstmestgift?</t>
  </si>
  <si>
    <t>Houdt u steeds rekening met de draagkracht van de bodem bij drijfmestgift?</t>
  </si>
  <si>
    <t>Door voldoende rekening te houden met de draagkracht van de bodem, kan u insporing en bodemverdichting door mest uitrijden voorkomen.</t>
  </si>
  <si>
    <t>Temperatuursom bij de eerste kunstmestgift?</t>
  </si>
  <si>
    <t>De temperatuursom moet op het moment van de eerste kunstmestgift minimaal 180 graden bedragen. Eerder bemesten resulteert in een inefficiënt nutriëntengebruik en uitspoeling.</t>
  </si>
  <si>
    <t>Areaal gebruikt voor beweiding (excl. Huiskavel)</t>
  </si>
  <si>
    <t>Worden er inkuilmiddelen/inoculanten/broeiremmers gebruikt bij ongunstige weersomstandigheden of relatief hoge eiwit/suiker verhouding?</t>
  </si>
  <si>
    <t>Zorg steeds dat de messen voldoende scherp zijn. Hierdoor zal het gras beter doorgesneden en minder kapotgeslagen worden, en zal ook het brandstofverbruik lager zijn.</t>
  </si>
  <si>
    <t>Best wordt er vermeden dat er neerslag valt tijdens de veldperiode, check dus steeds de weersvoorspelling alvorens je beslist te maaien.</t>
  </si>
  <si>
    <t>Wanneer er reeds een mooie snede op staat, wacht je best niet te lang met maaien. Bij een te zware snede is de hergroei vaak minder goed.</t>
  </si>
  <si>
    <t>Aarvorming in het gras gaat gepaard met een lagere voederwaarde. Wacht daarom niet te lang met maaien zodra je aarvorming waarneemt.</t>
  </si>
  <si>
    <t>Een zuurstofdichte onderfolie zorgt voor een optimale afsluiting van de kuil en draagt bij aan een goede conservering en bewaring van het voer. De afdekfolie beschermt de onderfolie bovendien tegen UV-straling, zodat deze haar kwaliteit en werking behoudt.</t>
  </si>
  <si>
    <t>Bodemverdichting opheffen is niet eenvoudig, probeer het daarom zo veel mogelijk te voorkomen. Houdt rekening met de draagkracht van de bodem en voer bewerkingen eventueel uit met een aangepaste bandendruk.</t>
  </si>
  <si>
    <t>lager</t>
  </si>
  <si>
    <t>hoger</t>
  </si>
  <si>
    <t xml:space="preserve">Je neemt nu </t>
  </si>
  <si>
    <t xml:space="preserve"> snedes per jaar. </t>
  </si>
  <si>
    <t xml:space="preserve">Afhankelijk van je doel, kan het interessanter zijn om iets frequenter te maaien. Zware snedes nemen kan ervoor zorgen dat nieuwe grasscheuten verstikken onder het oude gras wat kan leiden tot een meer open zode na maaien. Eveneens is de voederwaarde en het eiwitgehalte van wat jongere snedes gewoonlijk hoger. </t>
  </si>
  <si>
    <t xml:space="preserve">Afhankelijk van het doel kan te frequent of te vroeg maaien het opbrengstpotentieel beperken. Daarnaast brengt iedere bijkomende snede extra arbeids- en machinekosten met zich mee. Natuurlijk zorgt jong gras wel voor een hoge voederwaarde en eiwitgehalte. </t>
  </si>
  <si>
    <t xml:space="preserve">Met een DS-opbrengst van </t>
  </si>
  <si>
    <t xml:space="preserve"> kg/ha </t>
  </si>
  <si>
    <t xml:space="preserve">is er zeker nog potentieel om dit verder op te krikken met behulp van de gegeven adviezen. </t>
  </si>
  <si>
    <t xml:space="preserve">is er nog wel wat potentieel om dit verder op te krikken met behulp van de gegeven adviezen. </t>
  </si>
  <si>
    <t xml:space="preserve">ben je al zeer goed bezig. Door de extra tips/adviezen kan je deze opbrengst of de kwaliteit ervan misschien nog een beetje verhogen. </t>
  </si>
  <si>
    <t>Geschatte NUE (%) toevoegen o.b.v. verzamelde gegevens</t>
  </si>
  <si>
    <t>Wat is de geschatte NUE (Bruto stikstofefficiëntie (zie ook bemestingstool))?</t>
  </si>
  <si>
    <t>Je NUE (= Nitrogen Use Efficiency) of bruto stikstofefficiëntie ligt lager dan 100%. Dit betekend dat niet alle stikstof, beschikbaar door bemesting, succesvol werd ingebouwd in en geoogst in de vorm van graseiwit. Voor traditioneel grasland liggen deze waardes meestal ook lager dan 100% door o.a. N-uitspoeling, oogstverliezen, conserveringsverliezen, ... . Door je graslandbeheer te optimaliseren kan dit percentage verder verhoogd worden. Vlinderbloemigen zoals klaver in je grasmengsels op nemen, kan zelf resulteren in NUE-percentages hoger dan 100%, door de extra stikstof beschikbaar gemaakt via stikstoffixatie.</t>
  </si>
  <si>
    <t>Enkel gele cellen dienen ingevuld te worden.</t>
  </si>
  <si>
    <t xml:space="preserve">Het graskompas werd ontwikkeld binnnen het demoproject " Graskracht". Via dit project wensen we de stikstofefficiëntie en het algemene graslandbeheer verder te optimaliseren. </t>
  </si>
  <si>
    <t>Het graskompas geeft landbouwers een score voor de verschillende aspecten van het graslandbeheer op basis van een aantal standaardvragen.  Op die manier wordt er een bedrijfsbrede analyse uitgevoerd, waaraan eveneens  adviezen/tips gekoppeld zijn, om het graslandbeheer verder te optimaliseren waar mogelijk. De vragen werden verdeeld over de verschillende deelaspecten die allen een eigen tabblad kregen. De verschillende aspecten zijn : Algemeen, Zaai, Nutriëntenbeheer, Oogst, Weidegang, Kwaliteit graskuil, In-uitkuilen, Graslandonderhoud en Waterhuishouding.</t>
  </si>
  <si>
    <r>
      <rPr>
        <u/>
        <sz val="11"/>
        <color theme="1"/>
        <rFont val="Aptos Narrow"/>
        <family val="2"/>
        <scheme val="minor"/>
      </rPr>
      <t>Stap 1</t>
    </r>
    <r>
      <rPr>
        <sz val="11"/>
        <color theme="1"/>
        <rFont val="Aptos Narrow"/>
        <family val="2"/>
        <scheme val="minor"/>
      </rPr>
      <t>: Ga naar het volgende tabblad via de knop hieronder.</t>
    </r>
  </si>
  <si>
    <r>
      <rPr>
        <u/>
        <sz val="11"/>
        <color theme="1"/>
        <rFont val="Aptos Narrow"/>
        <family val="2"/>
        <scheme val="minor"/>
      </rPr>
      <t>Stap 2</t>
    </r>
    <r>
      <rPr>
        <sz val="11"/>
        <color theme="1"/>
        <rFont val="Aptos Narrow"/>
        <family val="2"/>
        <scheme val="minor"/>
      </rPr>
      <t>: Beantwoord alle vragen.</t>
    </r>
  </si>
  <si>
    <r>
      <rPr>
        <u/>
        <sz val="11"/>
        <color theme="1"/>
        <rFont val="Aptos Narrow"/>
        <family val="2"/>
        <scheme val="minor"/>
      </rPr>
      <t>Stap 4</t>
    </r>
    <r>
      <rPr>
        <sz val="11"/>
        <color theme="1"/>
        <rFont val="Aptos Narrow"/>
        <family val="2"/>
        <scheme val="minor"/>
      </rPr>
      <t>: Ga nu met de knop naar het Graskompas en evalueer je eindrapport.</t>
    </r>
  </si>
  <si>
    <r>
      <rPr>
        <u/>
        <sz val="11"/>
        <color theme="1"/>
        <rFont val="Aptos Narrow"/>
        <family val="2"/>
        <scheme val="minor"/>
      </rPr>
      <t>Stap 3</t>
    </r>
    <r>
      <rPr>
        <sz val="11"/>
        <color theme="1"/>
        <rFont val="Aptos Narrow"/>
        <family val="2"/>
        <scheme val="minor"/>
      </rPr>
      <t>: Herhaal de 2 bovenstaande stappen tot alle vragen zijn beantwoord.</t>
    </r>
  </si>
  <si>
    <t>Met vlinderbloemige</t>
  </si>
  <si>
    <t>Zonder</t>
  </si>
  <si>
    <t>Met vlinderbloemigen?</t>
  </si>
  <si>
    <t>Limiet</t>
  </si>
  <si>
    <t>Specialisatie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</si>
</sst>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9" x14ac:knownFonts="1">
    <font>
      <sz val="11"/>
      <color theme="1"/>
      <name val="Aptos Narrow"/>
      <family val="2"/>
      <scheme val="minor"/>
    </font>
    <font>
      <sz val="10"/>
      <color theme="1"/>
      <name val="Arial"/>
      <family val="2"/>
    </font>
    <font>
      <sz val="8"/>
      <name val="Aptos Narrow"/>
      <family val="2"/>
      <scheme val="minor"/>
    </font>
    <font>
      <b/>
      <sz val="11"/>
      <color theme="1"/>
      <name val="Aptos Narrow"/>
      <family val="2"/>
      <scheme val="minor"/>
    </font>
    <font>
      <sz val="11"/>
      <name val="Aptos Narrow"/>
      <family val="2"/>
      <scheme val="minor"/>
    </font>
    <font>
      <u/>
      <sz val="11"/>
      <color theme="10"/>
      <name val="Aptos Narrow"/>
      <family val="2"/>
      <scheme val="minor"/>
    </font>
    <font>
      <u/>
      <sz val="11"/>
      <color theme="1"/>
      <name val="Aptos Narrow"/>
      <family val="2"/>
      <scheme val="minor"/>
    </font>
    <font>
      <sz val="11"/>
      <color theme="1"/>
      <name val="Aptos Narrow"/>
      <family val="2"/>
      <scheme val="minor"/>
    </font>
    <font>
      <b/>
      <u/>
      <sz val="11"/>
      <color theme="1"/>
      <name val="Aptos Narrow"/>
      <family val="2"/>
      <scheme val="minor"/>
    </font>
    <font>
      <i/>
      <sz val="11"/>
      <color theme="1"/>
      <name val="Aptos Narrow"/>
      <family val="2"/>
      <scheme val="minor"/>
    </font>
    <font>
      <b/>
      <u/>
      <sz val="50"/>
      <color theme="9"/>
      <name val="Aptos Narrow"/>
      <family val="2"/>
      <scheme val="minor"/>
    </font>
    <font>
      <sz val="16"/>
      <color theme="1"/>
      <name val="Aptos Narrow"/>
      <family val="2"/>
      <scheme val="minor"/>
    </font>
    <font>
      <sz val="16"/>
      <color rgb="FFFF0000"/>
      <name val="Aptos Narrow"/>
      <family val="2"/>
      <scheme val="minor"/>
    </font>
    <font>
      <b/>
      <u/>
      <sz val="25"/>
      <color theme="9"/>
      <name val="Aptos Narrow"/>
      <family val="2"/>
      <scheme val="minor"/>
    </font>
    <font>
      <b/>
      <sz val="16"/>
      <color theme="1"/>
      <name val="Aptos Narrow"/>
      <family val="2"/>
      <scheme val="minor"/>
    </font>
    <font>
      <b/>
      <sz val="11"/>
      <color theme="0"/>
      <name val="Aptos Narrow"/>
      <family val="2"/>
      <scheme val="minor"/>
    </font>
    <font>
      <sz val="11"/>
      <color theme="0"/>
      <name val="Aptos Narrow"/>
      <family val="2"/>
      <scheme val="minor"/>
    </font>
    <font>
      <sz val="10"/>
      <color theme="0"/>
      <name val="Arial"/>
      <family val="2"/>
    </font>
    <font>
      <sz val="16"/>
      <color theme="0"/>
      <name val="Aptos Narrow"/>
      <family val="2"/>
      <scheme val="minor"/>
    </font>
  </fonts>
  <fills count="11">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669900"/>
        <bgColor indexed="64"/>
      </patternFill>
    </fill>
    <fill>
      <patternFill patternType="solid">
        <fgColor theme="9" tint="0.79998168889431442"/>
        <bgColor indexed="64"/>
      </patternFill>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rgb="FF00CC0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7" fillId="0" borderId="0" applyFont="0" applyFill="0" applyBorder="0" applyAlignment="0" applyProtection="0"/>
  </cellStyleXfs>
  <cellXfs count="115">
    <xf numFmtId="0" fontId="0" fillId="0" borderId="0" xfId="0"/>
    <xf numFmtId="16" fontId="0" fillId="0" borderId="0" xfId="0" applyNumberFormat="1"/>
    <xf numFmtId="0" fontId="0" fillId="0" borderId="0" xfId="0" applyAlignment="1">
      <alignment horizontal="right"/>
    </xf>
    <xf numFmtId="0" fontId="3" fillId="0" borderId="0" xfId="0" applyFont="1"/>
    <xf numFmtId="0" fontId="0" fillId="3" borderId="0" xfId="0" applyFill="1"/>
    <xf numFmtId="0" fontId="0" fillId="5" borderId="0" xfId="0" applyFill="1"/>
    <xf numFmtId="0" fontId="0" fillId="2" borderId="0" xfId="0" applyFill="1"/>
    <xf numFmtId="0" fontId="8" fillId="0" borderId="0" xfId="0" applyFont="1"/>
    <xf numFmtId="16" fontId="0" fillId="5" borderId="0" xfId="0" applyNumberFormat="1" applyFill="1"/>
    <xf numFmtId="0" fontId="3" fillId="5" borderId="0" xfId="0" applyFont="1" applyFill="1"/>
    <xf numFmtId="0" fontId="9" fillId="0" borderId="0" xfId="0" applyFont="1"/>
    <xf numFmtId="0" fontId="0" fillId="0" borderId="11" xfId="0" applyBorder="1"/>
    <xf numFmtId="0" fontId="3" fillId="0" borderId="11" xfId="0" applyFont="1" applyBorder="1"/>
    <xf numFmtId="0" fontId="0" fillId="0" borderId="11" xfId="0" applyBorder="1" applyAlignment="1">
      <alignment horizontal="right"/>
    </xf>
    <xf numFmtId="16" fontId="0" fillId="0" borderId="11" xfId="0" applyNumberFormat="1" applyBorder="1"/>
    <xf numFmtId="0" fontId="0" fillId="0" borderId="7" xfId="0" applyBorder="1"/>
    <xf numFmtId="164" fontId="0" fillId="0" borderId="0" xfId="0" applyNumberFormat="1"/>
    <xf numFmtId="0" fontId="0" fillId="7" borderId="0" xfId="0" applyFill="1"/>
    <xf numFmtId="0" fontId="4" fillId="6" borderId="0" xfId="0" applyFont="1" applyFill="1"/>
    <xf numFmtId="0" fontId="0" fillId="8" borderId="0" xfId="0" applyFill="1"/>
    <xf numFmtId="165" fontId="0" fillId="0" borderId="11" xfId="2" applyNumberFormat="1" applyFont="1" applyBorder="1"/>
    <xf numFmtId="0" fontId="3" fillId="0" borderId="7" xfId="0" applyFont="1" applyBorder="1"/>
    <xf numFmtId="0" fontId="3" fillId="5" borderId="12" xfId="0" applyFont="1" applyFill="1" applyBorder="1"/>
    <xf numFmtId="0" fontId="0" fillId="5" borderId="12" xfId="0" applyFill="1" applyBorder="1"/>
    <xf numFmtId="0" fontId="0" fillId="0" borderId="13" xfId="0" applyBorder="1"/>
    <xf numFmtId="0" fontId="0" fillId="2" borderId="2" xfId="0" applyFill="1" applyBorder="1" applyProtection="1">
      <protection locked="0"/>
    </xf>
    <xf numFmtId="0" fontId="0" fillId="2" borderId="0" xfId="0" applyFill="1" applyProtection="1">
      <protection locked="0"/>
    </xf>
    <xf numFmtId="0" fontId="0" fillId="0" borderId="0" xfId="0" applyProtection="1">
      <protection locked="0"/>
    </xf>
    <xf numFmtId="0" fontId="4" fillId="5" borderId="0" xfId="0" applyFont="1" applyFill="1" applyProtection="1">
      <protection locked="0"/>
      <extLst>
        <ext xmlns:xfpb="http://schemas.microsoft.com/office/spreadsheetml/2022/featurepropertybag" uri="{C7286773-470A-42A8-94C5-96B5CB345126}">
          <xfpb:xfComplement i="0"/>
        </ext>
      </extLst>
    </xf>
    <xf numFmtId="0" fontId="4" fillId="2" borderId="0" xfId="0" applyFont="1" applyFill="1" applyProtection="1">
      <protection locked="0"/>
      <extLst>
        <ext xmlns:xfpb="http://schemas.microsoft.com/office/spreadsheetml/2022/featurepropertybag" uri="{C7286773-470A-42A8-94C5-96B5CB345126}">
          <xfpb:xfComplement i="0"/>
        </ext>
      </extLst>
    </xf>
    <xf numFmtId="16" fontId="0" fillId="2" borderId="0" xfId="0" applyNumberFormat="1" applyFill="1" applyProtection="1">
      <protection locked="0"/>
    </xf>
    <xf numFmtId="14" fontId="0" fillId="2" borderId="0" xfId="0" applyNumberFormat="1" applyFill="1" applyProtection="1">
      <protection locked="0"/>
    </xf>
    <xf numFmtId="0" fontId="0" fillId="2" borderId="0" xfId="0" applyFill="1" applyProtection="1">
      <protection locked="0"/>
      <extLst>
        <ext xmlns:xfpb="http://schemas.microsoft.com/office/spreadsheetml/2022/featurepropertybag" uri="{C7286773-470A-42A8-94C5-96B5CB345126}">
          <xfpb:xfComplement i="0"/>
        </ext>
      </extLst>
    </xf>
    <xf numFmtId="0" fontId="0" fillId="2" borderId="0" xfId="0" applyFill="1" applyAlignment="1" applyProtection="1">
      <alignment horizontal="left"/>
      <protection locked="0"/>
    </xf>
    <xf numFmtId="0" fontId="0" fillId="2" borderId="0" xfId="0" applyFill="1" applyAlignment="1" applyProtection="1">
      <alignment horizontal="right"/>
      <protection locked="0"/>
    </xf>
    <xf numFmtId="0" fontId="4" fillId="2" borderId="0" xfId="0" applyFont="1" applyFill="1" applyProtection="1">
      <protection locked="0"/>
    </xf>
    <xf numFmtId="0" fontId="0" fillId="0" borderId="0" xfId="0" applyAlignment="1">
      <alignment horizontal="left" vertical="top" wrapText="1"/>
    </xf>
    <xf numFmtId="0" fontId="0" fillId="0" borderId="0" xfId="0" applyAlignment="1">
      <alignment horizontal="left"/>
    </xf>
    <xf numFmtId="0" fontId="3" fillId="4" borderId="1" xfId="0" applyFont="1" applyFill="1" applyBorder="1"/>
    <xf numFmtId="0" fontId="3" fillId="4" borderId="2" xfId="0" applyFont="1" applyFill="1" applyBorder="1"/>
    <xf numFmtId="0" fontId="0" fillId="4" borderId="3" xfId="0" applyFill="1" applyBorder="1"/>
    <xf numFmtId="0" fontId="0" fillId="5" borderId="1" xfId="0" applyFill="1" applyBorder="1"/>
    <xf numFmtId="0" fontId="0" fillId="5" borderId="3" xfId="0" applyFill="1" applyBorder="1"/>
    <xf numFmtId="0" fontId="0" fillId="0" borderId="4" xfId="0" applyBorder="1"/>
    <xf numFmtId="0" fontId="0" fillId="0" borderId="5" xfId="0" applyBorder="1"/>
    <xf numFmtId="0" fontId="16" fillId="0" borderId="0" xfId="0" applyFont="1"/>
    <xf numFmtId="0" fontId="0" fillId="5" borderId="4" xfId="0" applyFill="1" applyBorder="1"/>
    <xf numFmtId="0" fontId="0" fillId="5" borderId="5" xfId="0" applyFill="1" applyBorder="1"/>
    <xf numFmtId="0" fontId="1" fillId="5" borderId="4" xfId="0" applyFont="1" applyFill="1" applyBorder="1" applyAlignment="1">
      <alignment wrapText="1"/>
    </xf>
    <xf numFmtId="0" fontId="0" fillId="5" borderId="6" xfId="0" applyFill="1" applyBorder="1"/>
    <xf numFmtId="0" fontId="0" fillId="5" borderId="7" xfId="0" applyFill="1" applyBorder="1"/>
    <xf numFmtId="0" fontId="0" fillId="5" borderId="8" xfId="0" applyFill="1" applyBorder="1"/>
    <xf numFmtId="0" fontId="3" fillId="4" borderId="9" xfId="0" applyFont="1" applyFill="1" applyBorder="1"/>
    <xf numFmtId="0" fontId="3" fillId="4" borderId="10" xfId="0" applyFont="1" applyFill="1" applyBorder="1"/>
    <xf numFmtId="0" fontId="4" fillId="5" borderId="0" xfId="0" applyFont="1" applyFill="1"/>
    <xf numFmtId="0" fontId="4" fillId="0" borderId="0" xfId="0" applyFont="1" applyAlignment="1">
      <alignment horizontal="right"/>
    </xf>
    <xf numFmtId="0" fontId="4" fillId="0" borderId="0" xfId="0" applyFont="1"/>
    <xf numFmtId="0" fontId="4" fillId="5" borderId="0" xfId="0" applyFont="1" applyFill="1" applyAlignment="1">
      <alignment horizontal="right"/>
    </xf>
    <xf numFmtId="9" fontId="3" fillId="0" borderId="0" xfId="2" applyFont="1" applyFill="1" applyProtection="1"/>
    <xf numFmtId="0" fontId="0" fillId="5" borderId="0" xfId="0" applyFill="1" applyAlignment="1">
      <alignment horizontal="right"/>
    </xf>
    <xf numFmtId="0" fontId="0" fillId="5" borderId="0" xfId="0" applyFill="1" applyAlignment="1">
      <alignment horizontal="left"/>
    </xf>
    <xf numFmtId="9" fontId="3" fillId="0" borderId="0" xfId="2" applyFont="1" applyProtection="1"/>
    <xf numFmtId="0" fontId="6" fillId="0" borderId="0" xfId="0" applyFont="1"/>
    <xf numFmtId="0" fontId="5" fillId="0" borderId="0" xfId="1" applyProtection="1"/>
    <xf numFmtId="0" fontId="0" fillId="9" borderId="4" xfId="0" applyFill="1" applyBorder="1"/>
    <xf numFmtId="0" fontId="0" fillId="9" borderId="0" xfId="0" applyFill="1"/>
    <xf numFmtId="0" fontId="0" fillId="9" borderId="5" xfId="0" applyFill="1" applyBorder="1"/>
    <xf numFmtId="0" fontId="16" fillId="9" borderId="4" xfId="0" applyFont="1" applyFill="1" applyBorder="1"/>
    <xf numFmtId="0" fontId="16" fillId="9" borderId="0" xfId="0" applyFont="1" applyFill="1"/>
    <xf numFmtId="0" fontId="16" fillId="9" borderId="5" xfId="0" applyFont="1" applyFill="1" applyBorder="1"/>
    <xf numFmtId="0" fontId="17" fillId="9" borderId="4" xfId="0" applyFont="1" applyFill="1" applyBorder="1" applyAlignment="1">
      <alignment wrapText="1"/>
    </xf>
    <xf numFmtId="9" fontId="16" fillId="0" borderId="0" xfId="0" applyNumberFormat="1" applyFont="1"/>
    <xf numFmtId="9" fontId="16" fillId="9" borderId="0" xfId="2" applyFont="1" applyFill="1" applyBorder="1" applyProtection="1"/>
    <xf numFmtId="9" fontId="16" fillId="9" borderId="0" xfId="0" applyNumberFormat="1" applyFont="1" applyFill="1"/>
    <xf numFmtId="0" fontId="4" fillId="9" borderId="4" xfId="0" applyFont="1" applyFill="1" applyBorder="1"/>
    <xf numFmtId="0" fontId="4" fillId="9" borderId="0" xfId="0" applyFont="1" applyFill="1"/>
    <xf numFmtId="0" fontId="4" fillId="9" borderId="5" xfId="0" applyFont="1" applyFill="1" applyBorder="1"/>
    <xf numFmtId="0" fontId="11" fillId="9" borderId="4" xfId="0" applyFont="1" applyFill="1" applyBorder="1"/>
    <xf numFmtId="0" fontId="11" fillId="9" borderId="0" xfId="0" applyFont="1" applyFill="1"/>
    <xf numFmtId="0" fontId="18" fillId="0" borderId="0" xfId="0" applyFont="1"/>
    <xf numFmtId="0" fontId="11" fillId="0" borderId="0" xfId="0" applyFont="1"/>
    <xf numFmtId="0" fontId="11" fillId="9" borderId="5" xfId="0" applyFont="1" applyFill="1" applyBorder="1"/>
    <xf numFmtId="0" fontId="12" fillId="9" borderId="0" xfId="0" applyFont="1" applyFill="1"/>
    <xf numFmtId="0" fontId="11" fillId="9" borderId="6" xfId="0" applyFont="1" applyFill="1" applyBorder="1"/>
    <xf numFmtId="0" fontId="11" fillId="9" borderId="7" xfId="0" applyFont="1" applyFill="1" applyBorder="1"/>
    <xf numFmtId="0" fontId="11" fillId="9" borderId="8" xfId="0" applyFont="1" applyFill="1" applyBorder="1"/>
    <xf numFmtId="0" fontId="13" fillId="9" borderId="1" xfId="0" applyFont="1" applyFill="1" applyBorder="1"/>
    <xf numFmtId="0" fontId="11" fillId="9" borderId="2" xfId="0" applyFont="1" applyFill="1" applyBorder="1"/>
    <xf numFmtId="0" fontId="11" fillId="9" borderId="3" xfId="0" applyFont="1" applyFill="1" applyBorder="1"/>
    <xf numFmtId="0" fontId="14" fillId="9" borderId="0" xfId="0" applyFont="1" applyFill="1"/>
    <xf numFmtId="2" fontId="18" fillId="0" borderId="0" xfId="0" applyNumberFormat="1" applyFont="1"/>
    <xf numFmtId="0" fontId="16" fillId="0" borderId="0" xfId="0" applyFont="1" applyAlignment="1">
      <alignment horizontal="right"/>
    </xf>
    <xf numFmtId="0" fontId="0" fillId="9" borderId="2" xfId="0" applyFill="1" applyBorder="1"/>
    <xf numFmtId="0" fontId="11" fillId="9" borderId="0" xfId="0" applyFont="1" applyFill="1" applyAlignment="1">
      <alignment vertical="top" wrapText="1"/>
    </xf>
    <xf numFmtId="0" fontId="11" fillId="9" borderId="5" xfId="0" applyFont="1" applyFill="1" applyBorder="1" applyAlignment="1">
      <alignment vertical="top" wrapText="1"/>
    </xf>
    <xf numFmtId="0" fontId="11" fillId="9" borderId="7" xfId="0" applyFont="1" applyFill="1" applyBorder="1" applyAlignment="1">
      <alignment vertical="top" wrapText="1"/>
    </xf>
    <xf numFmtId="0" fontId="11" fillId="9" borderId="8" xfId="0" applyFont="1" applyFill="1" applyBorder="1" applyAlignment="1">
      <alignment vertical="top" wrapText="1"/>
    </xf>
    <xf numFmtId="0" fontId="11" fillId="9" borderId="2" xfId="0" applyFont="1" applyFill="1" applyBorder="1" applyAlignment="1">
      <alignment vertical="top" wrapText="1"/>
    </xf>
    <xf numFmtId="0" fontId="11" fillId="9" borderId="3" xfId="0" applyFont="1" applyFill="1" applyBorder="1" applyAlignment="1">
      <alignment vertical="top" wrapText="1"/>
    </xf>
    <xf numFmtId="0" fontId="11" fillId="9" borderId="6" xfId="0" applyFont="1" applyFill="1" applyBorder="1" applyProtection="1">
      <protection locked="0"/>
    </xf>
    <xf numFmtId="0" fontId="11" fillId="9" borderId="4" xfId="0" applyFont="1" applyFill="1" applyBorder="1" applyProtection="1">
      <protection locked="0"/>
    </xf>
    <xf numFmtId="0" fontId="0" fillId="0" borderId="0" xfId="0" applyAlignment="1">
      <alignment vertical="top" wrapText="1"/>
    </xf>
    <xf numFmtId="0" fontId="0" fillId="0" borderId="0" xfId="0" applyAlignment="1">
      <alignment horizontal="center"/>
    </xf>
    <xf numFmtId="0" fontId="0" fillId="10" borderId="0" xfId="0" applyFill="1" applyAlignment="1">
      <alignment horizontal="left"/>
    </xf>
    <xf numFmtId="0" fontId="0" fillId="0" borderId="0" xfId="0" applyAlignment="1">
      <alignment horizontal="left" vertical="top" wrapText="1"/>
    </xf>
    <xf numFmtId="0" fontId="0" fillId="0" borderId="0" xfId="0" applyAlignment="1">
      <alignment horizontal="left"/>
    </xf>
    <xf numFmtId="0" fontId="0" fillId="10" borderId="0" xfId="0" applyFill="1" applyAlignment="1">
      <alignment horizontal="left" vertical="top" wrapText="1"/>
    </xf>
    <xf numFmtId="0" fontId="0" fillId="0" borderId="0" xfId="0" applyAlignment="1">
      <alignment horizontal="center" vertical="top" wrapText="1"/>
    </xf>
    <xf numFmtId="0" fontId="11" fillId="9" borderId="0" xfId="0" applyFont="1" applyFill="1" applyAlignment="1">
      <alignment horizontal="left" vertical="top" wrapText="1"/>
    </xf>
    <xf numFmtId="0" fontId="11" fillId="9" borderId="5" xfId="0" applyFont="1" applyFill="1" applyBorder="1" applyAlignment="1">
      <alignment horizontal="left" vertical="top" wrapText="1"/>
    </xf>
    <xf numFmtId="0" fontId="10" fillId="9" borderId="1" xfId="0" applyFont="1" applyFill="1" applyBorder="1" applyAlignment="1">
      <alignment horizontal="center"/>
    </xf>
    <xf numFmtId="0" fontId="10" fillId="9" borderId="2" xfId="0" applyFont="1" applyFill="1" applyBorder="1" applyAlignment="1">
      <alignment horizontal="center"/>
    </xf>
    <xf numFmtId="0" fontId="10" fillId="9" borderId="3" xfId="0" applyFont="1" applyFill="1" applyBorder="1" applyAlignment="1">
      <alignment horizontal="center"/>
    </xf>
    <xf numFmtId="0" fontId="11" fillId="9" borderId="7" xfId="0" applyFont="1" applyFill="1" applyBorder="1" applyAlignment="1">
      <alignment horizontal="left" vertical="top" wrapText="1"/>
    </xf>
    <xf numFmtId="0" fontId="11" fillId="9" borderId="8" xfId="0" applyFont="1" applyFill="1" applyBorder="1" applyAlignment="1">
      <alignment horizontal="left" vertical="top" wrapText="1"/>
    </xf>
  </cellXfs>
  <cellStyles count="3">
    <cellStyle name="Hyperlink" xfId="1" builtinId="8"/>
    <cellStyle name="Procent" xfId="2" builtinId="5"/>
    <cellStyle name="Standaard" xfId="0" builtinId="0"/>
  </cellStyles>
  <dxfs count="4">
    <dxf>
      <font>
        <color theme="9" tint="0.79998168889431442"/>
      </font>
      <fill>
        <patternFill patternType="solid">
          <fgColor indexed="64"/>
          <bgColor theme="9" tint="0.79998168889431442"/>
        </patternFill>
      </fill>
      <border>
        <left/>
        <right/>
        <top/>
        <bottom/>
      </border>
    </dxf>
    <dxf>
      <font>
        <color auto="1"/>
      </font>
      <fill>
        <patternFill patternType="solid">
          <fgColor indexed="64"/>
          <bgColor rgb="FFFFFF00"/>
        </patternFill>
      </fill>
      <border>
        <left/>
        <right/>
        <top/>
        <bottom/>
      </border>
    </dxf>
    <dxf>
      <font>
        <color theme="0"/>
      </font>
    </dxf>
    <dxf>
      <fill>
        <patternFill>
          <bgColor rgb="FFFFFF00"/>
        </patternFill>
      </fill>
    </dxf>
  </dxfs>
  <tableStyles count="0" defaultTableStyle="TableStyleMedium2" defaultPivotStyle="PivotStyleLight16"/>
  <colors>
    <mruColors>
      <color rgb="FF00CC00"/>
      <color rgb="FF009900"/>
      <color rgb="FF669900"/>
      <color rgb="FF196B24"/>
      <color rgb="FF990099"/>
      <color rgb="FF00CCFF"/>
      <color rgb="FF33CCFF"/>
      <color rgb="FF006600"/>
      <color rgb="FF66FF3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image" Target="../media/image5.png"/><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image" Target="../media/image6.png"/><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7.png"/><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image" Target="../media/image8.png"/><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image" Target="../media/image9.png"/><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image" Target="../media/image10.png"/><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image" Target="../media/image11.png"/><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image" Target="../media/image12.png"/><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image" Target="../media/image14.png"/><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image" Target="../media/image17.png"/><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image" Target="../media/image18.png"/><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image" Target="../media/image16.png"/><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image" Target="../media/image26.png"/><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image" Target="../media/image27.png"/><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image" Target="../media/image28.png"/><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image" Target="../media/image29.png"/><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image" Target="../media/image32.png"/><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image" Target="../media/image33.png"/><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image" Target="../media/image34.png"/><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image" Target="../media/image35.png"/><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image" Target="../media/image36.png"/><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image" Target="../media/image37.png"/><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image" Target="../media/image38.png"/><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image" Target="../media/image39.png"/><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image" Target="../media/image43.png"/><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image" Target="../media/image44.png"/><Relationship Id="rId2" Type="http://schemas.microsoft.com/office/2011/relationships/chartColorStyle" Target="colors72.xml"/><Relationship Id="rId1" Type="http://schemas.microsoft.com/office/2011/relationships/chartStyle" Target="style72.xml"/><Relationship Id="rId4" Type="http://schemas.openxmlformats.org/officeDocument/2006/relationships/image" Target="../media/image45.png"/></Relationships>
</file>

<file path=xl/charts/_rels/chart73.xml.rels><?xml version="1.0" encoding="UTF-8" standalone="yes"?>
<Relationships xmlns="http://schemas.openxmlformats.org/package/2006/relationships"><Relationship Id="rId3" Type="http://schemas.openxmlformats.org/officeDocument/2006/relationships/image" Target="../media/image46.png"/><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image" Target="../media/image46.png"/><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image" Target="../media/image47.png"/><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image" Target="../media/image47.png"/><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image" Target="../media/image48.png"/><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image" Target="../media/image54.png"/><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image" Target="../media/image54.png"/><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image" Target="../media/image56.png"/><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image" Target="../media/image57.png"/><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image" Target="../media/image54.png"/><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image" Target="../media/image61.png"/><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image" Target="../media/image62.png"/><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image" Target="../media/image63.png"/><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image" Target="../media/image64.png"/><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image" Target="../media/image54.png"/><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image" Target="../media/image66.png"/><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image" Target="../media/image68.png"/><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image" Target="../media/image54.png"/><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image" Target="../media/image65.png"/><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image" Target="../media/image69.png"/><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image" Target="../media/image23.png"/><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image" Target="../media/image24.png"/><Relationship Id="rId2" Type="http://schemas.microsoft.com/office/2011/relationships/chartColorStyle" Target="colors145.xml"/><Relationship Id="rId1" Type="http://schemas.microsoft.com/office/2011/relationships/chartStyle" Target="style145.xml"/></Relationships>
</file>

<file path=xl/charts/_rels/chartEx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0-0C2A-443B-AD8E-758AD510C86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pH_4_4,5</c:v>
          </c:tx>
          <c:spPr>
            <a:blipFill>
              <a:blip xmlns:r="http://schemas.openxmlformats.org/officeDocument/2006/relationships" r:embed="rId3"/>
              <a:stretch>
                <a:fillRect/>
              </a:stretch>
            </a:blipFill>
            <a:ln>
              <a:noFill/>
            </a:ln>
            <a:effectLst/>
          </c:spPr>
          <c:invertIfNegative val="0"/>
          <c:val>
            <c:numRef>
              <c:f>Graskompas!$AC$103</c:f>
              <c:numCache>
                <c:formatCode>General</c:formatCode>
                <c:ptCount val="1"/>
                <c:pt idx="0">
                  <c:v>0</c:v>
                </c:pt>
              </c:numCache>
            </c:numRef>
          </c:val>
          <c:extLst>
            <c:ext xmlns:c16="http://schemas.microsoft.com/office/drawing/2014/chart" uri="{C3380CC4-5D6E-409C-BE32-E72D297353CC}">
              <c16:uniqueId val="{00000006-43D2-4547-A3AE-1094FCE38277}"/>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pH_4,5_5</c:v>
          </c:tx>
          <c:spPr>
            <a:blipFill>
              <a:blip xmlns:r="http://schemas.openxmlformats.org/officeDocument/2006/relationships" r:embed="rId3"/>
              <a:stretch>
                <a:fillRect/>
              </a:stretch>
            </a:blipFill>
            <a:ln>
              <a:noFill/>
            </a:ln>
            <a:effectLst/>
          </c:spPr>
          <c:invertIfNegative val="0"/>
          <c:val>
            <c:numRef>
              <c:f>Graskompas!$AD$103</c:f>
              <c:numCache>
                <c:formatCode>General</c:formatCode>
                <c:ptCount val="1"/>
                <c:pt idx="0">
                  <c:v>0</c:v>
                </c:pt>
              </c:numCache>
            </c:numRef>
          </c:val>
          <c:extLst>
            <c:ext xmlns:c16="http://schemas.microsoft.com/office/drawing/2014/chart" uri="{C3380CC4-5D6E-409C-BE32-E72D297353CC}">
              <c16:uniqueId val="{00000000-31E6-427A-8FAE-DDB678C26AE4}"/>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pH_5_5,5</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F955-42C7-8B88-93B58CCE7638}"/>
              </c:ext>
            </c:extLst>
          </c:dPt>
          <c:val>
            <c:numRef>
              <c:f>Graskompas!$AE$103</c:f>
              <c:numCache>
                <c:formatCode>General</c:formatCode>
                <c:ptCount val="1"/>
                <c:pt idx="0">
                  <c:v>0</c:v>
                </c:pt>
              </c:numCache>
            </c:numRef>
          </c:val>
          <c:extLst>
            <c:ext xmlns:c16="http://schemas.microsoft.com/office/drawing/2014/chart" uri="{C3380CC4-5D6E-409C-BE32-E72D297353CC}">
              <c16:uniqueId val="{00000000-F955-42C7-8B88-93B58CCE7638}"/>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pH_5,5_6</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BEE-435B-A8BE-5B70D5CCC9AD}"/>
              </c:ext>
            </c:extLst>
          </c:dPt>
          <c:val>
            <c:numRef>
              <c:f>Graskompas!$AF$103</c:f>
              <c:numCache>
                <c:formatCode>General</c:formatCode>
                <c:ptCount val="1"/>
                <c:pt idx="0">
                  <c:v>0</c:v>
                </c:pt>
              </c:numCache>
            </c:numRef>
          </c:val>
          <c:extLst>
            <c:ext xmlns:c16="http://schemas.microsoft.com/office/drawing/2014/chart" uri="{C3380CC4-5D6E-409C-BE32-E72D297353CC}">
              <c16:uniqueId val="{00000002-4BEE-435B-A8BE-5B70D5CCC9AD}"/>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pH_6_6,5</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5D2C-4E1B-831D-6F431D183E78}"/>
              </c:ext>
            </c:extLst>
          </c:dPt>
          <c:val>
            <c:numRef>
              <c:f>Graskompas!$AG$103</c:f>
              <c:numCache>
                <c:formatCode>General</c:formatCode>
                <c:ptCount val="1"/>
                <c:pt idx="0">
                  <c:v>0</c:v>
                </c:pt>
              </c:numCache>
            </c:numRef>
          </c:val>
          <c:extLst>
            <c:ext xmlns:c16="http://schemas.microsoft.com/office/drawing/2014/chart" uri="{C3380CC4-5D6E-409C-BE32-E72D297353CC}">
              <c16:uniqueId val="{00000002-5D2C-4E1B-831D-6F431D183E78}"/>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pH_6,5_7</c:v>
          </c:tx>
          <c:spPr>
            <a:blipFill>
              <a:blip xmlns:r="http://schemas.openxmlformats.org/officeDocument/2006/relationships" r:embed="rId3"/>
              <a:stretch>
                <a:fillRect/>
              </a:stretch>
            </a:blipFill>
            <a:ln>
              <a:noFill/>
            </a:ln>
            <a:effectLst/>
          </c:spPr>
          <c:invertIfNegative val="0"/>
          <c:val>
            <c:numRef>
              <c:f>Graskompas!$AH$103</c:f>
              <c:numCache>
                <c:formatCode>General</c:formatCode>
                <c:ptCount val="1"/>
                <c:pt idx="0">
                  <c:v>0</c:v>
                </c:pt>
              </c:numCache>
            </c:numRef>
          </c:val>
          <c:extLst>
            <c:ext xmlns:c16="http://schemas.microsoft.com/office/drawing/2014/chart" uri="{C3380CC4-5D6E-409C-BE32-E72D297353CC}">
              <c16:uniqueId val="{00000002-6350-4596-A450-3CE3BA4BBCF3}"/>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pH_7_7,5</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79E8-47B4-A72D-DEB645AC3CEF}"/>
              </c:ext>
            </c:extLst>
          </c:dPt>
          <c:val>
            <c:numRef>
              <c:f>Graskompas!$AI$103</c:f>
              <c:numCache>
                <c:formatCode>General</c:formatCode>
                <c:ptCount val="1"/>
                <c:pt idx="0">
                  <c:v>0</c:v>
                </c:pt>
              </c:numCache>
            </c:numRef>
          </c:val>
          <c:extLst>
            <c:ext xmlns:c16="http://schemas.microsoft.com/office/drawing/2014/chart" uri="{C3380CC4-5D6E-409C-BE32-E72D297353CC}">
              <c16:uniqueId val="{00000000-79E8-47B4-A72D-DEB645AC3CEF}"/>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pH_7,5_8</c:v>
          </c:tx>
          <c:spPr>
            <a:blipFill>
              <a:blip xmlns:r="http://schemas.openxmlformats.org/officeDocument/2006/relationships" r:embed="rId3"/>
              <a:stretch>
                <a:fillRect/>
              </a:stretch>
            </a:blipFill>
            <a:ln>
              <a:noFill/>
            </a:ln>
            <a:effectLst/>
          </c:spPr>
          <c:invertIfNegative val="0"/>
          <c:val>
            <c:numRef>
              <c:f>Graskompas!$AJ$103</c:f>
              <c:numCache>
                <c:formatCode>General</c:formatCode>
                <c:ptCount val="1"/>
                <c:pt idx="0">
                  <c:v>0</c:v>
                </c:pt>
              </c:numCache>
            </c:numRef>
          </c:val>
          <c:extLst>
            <c:ext xmlns:c16="http://schemas.microsoft.com/office/drawing/2014/chart" uri="{C3380CC4-5D6E-409C-BE32-E72D297353CC}">
              <c16:uniqueId val="{00000002-E3AF-467F-933A-9FE5C660DE36}"/>
            </c:ext>
          </c:extLst>
        </c:ser>
        <c:dLbls>
          <c:showLegendKey val="0"/>
          <c:showVal val="0"/>
          <c:showCatName val="0"/>
          <c:showSerName val="0"/>
          <c:showPercent val="0"/>
          <c:showBubbleSize val="0"/>
        </c:dLbls>
        <c:gapWidth val="0"/>
        <c:overlap val="-27"/>
        <c:axId val="1059092831"/>
        <c:axId val="1059098111"/>
      </c:barChart>
      <c:catAx>
        <c:axId val="1059092831"/>
        <c:scaling>
          <c:orientation val="minMax"/>
        </c:scaling>
        <c:delete val="1"/>
        <c:axPos val="b"/>
        <c:numFmt formatCode="General" sourceLinked="1"/>
        <c:majorTickMark val="none"/>
        <c:minorTickMark val="none"/>
        <c:tickLblPos val="nextTo"/>
        <c:crossAx val="1059098111"/>
        <c:crosses val="autoZero"/>
        <c:auto val="1"/>
        <c:lblAlgn val="ctr"/>
        <c:lblOffset val="100"/>
        <c:noMultiLvlLbl val="0"/>
      </c:catAx>
      <c:valAx>
        <c:axId val="1059098111"/>
        <c:scaling>
          <c:orientation val="minMax"/>
          <c:max val="1"/>
          <c:min val="0"/>
        </c:scaling>
        <c:delete val="1"/>
        <c:axPos val="l"/>
        <c:numFmt formatCode="General" sourceLinked="1"/>
        <c:majorTickMark val="none"/>
        <c:minorTickMark val="none"/>
        <c:tickLblPos val="nextTo"/>
        <c:crossAx val="105909283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100398982072373"/>
          <c:y val="8.3581986462218538E-2"/>
          <c:w val="0.5147361836779748"/>
          <c:h val="0.84792790509303906"/>
        </c:manualLayout>
      </c:layout>
      <c:radarChart>
        <c:radarStyle val="marker"/>
        <c:varyColors val="0"/>
        <c:ser>
          <c:idx val="6"/>
          <c:order val="0"/>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Graskompas!#REF!</c:f>
              <c:numCache>
                <c:formatCode>General</c:formatCode>
                <c:ptCount val="1"/>
                <c:pt idx="0">
                  <c:v>1</c:v>
                </c:pt>
              </c:numCache>
            </c:numRef>
          </c:val>
          <c:extLst>
            <c:ext xmlns:c16="http://schemas.microsoft.com/office/drawing/2014/chart" uri="{C3380CC4-5D6E-409C-BE32-E72D297353CC}">
              <c16:uniqueId val="{00000000-14B6-4803-B848-465D78920FC4}"/>
            </c:ext>
          </c:extLst>
        </c:ser>
        <c:ser>
          <c:idx val="7"/>
          <c:order val="1"/>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Graskompas!#REF!</c:f>
              <c:numCache>
                <c:formatCode>General</c:formatCode>
                <c:ptCount val="1"/>
                <c:pt idx="0">
                  <c:v>1</c:v>
                </c:pt>
              </c:numCache>
            </c:numRef>
          </c:val>
          <c:extLst>
            <c:ext xmlns:c16="http://schemas.microsoft.com/office/drawing/2014/chart" uri="{C3380CC4-5D6E-409C-BE32-E72D297353CC}">
              <c16:uniqueId val="{00000001-14B6-4803-B848-465D78920FC4}"/>
            </c:ext>
          </c:extLst>
        </c:ser>
        <c:ser>
          <c:idx val="8"/>
          <c:order val="2"/>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Graskompas!$B$12:$Q$12</c:f>
              <c:numCache>
                <c:formatCode>General</c:formatCode>
                <c:ptCount val="16"/>
                <c:pt idx="0" formatCode="0%">
                  <c:v>#N/A</c:v>
                </c:pt>
                <c:pt idx="1">
                  <c:v>0</c:v>
                </c:pt>
                <c:pt idx="2" formatCode="0%">
                  <c:v>0.8</c:v>
                </c:pt>
                <c:pt idx="3">
                  <c:v>0</c:v>
                </c:pt>
                <c:pt idx="4" formatCode="0%">
                  <c:v>#N/A</c:v>
                </c:pt>
                <c:pt idx="5">
                  <c:v>0</c:v>
                </c:pt>
                <c:pt idx="6" formatCode="0%">
                  <c:v>#N/A</c:v>
                </c:pt>
                <c:pt idx="7">
                  <c:v>0</c:v>
                </c:pt>
                <c:pt idx="8" formatCode="0%">
                  <c:v>0</c:v>
                </c:pt>
                <c:pt idx="9">
                  <c:v>0</c:v>
                </c:pt>
                <c:pt idx="10" formatCode="0%">
                  <c:v>#N/A</c:v>
                </c:pt>
                <c:pt idx="11">
                  <c:v>0</c:v>
                </c:pt>
                <c:pt idx="12" formatCode="0%">
                  <c:v>0</c:v>
                </c:pt>
                <c:pt idx="13">
                  <c:v>0</c:v>
                </c:pt>
                <c:pt idx="14" formatCode="0%">
                  <c:v>#N/A</c:v>
                </c:pt>
                <c:pt idx="15">
                  <c:v>0</c:v>
                </c:pt>
              </c:numCache>
            </c:numRef>
          </c:val>
          <c:extLst>
            <c:ext xmlns:c16="http://schemas.microsoft.com/office/drawing/2014/chart" uri="{C3380CC4-5D6E-409C-BE32-E72D297353CC}">
              <c16:uniqueId val="{00000002-14B6-4803-B848-465D78920FC4}"/>
            </c:ext>
          </c:extLst>
        </c:ser>
        <c:ser>
          <c:idx val="9"/>
          <c:order val="3"/>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Graskompas!#REF!</c:f>
              <c:numCache>
                <c:formatCode>General</c:formatCode>
                <c:ptCount val="1"/>
                <c:pt idx="0">
                  <c:v>1</c:v>
                </c:pt>
              </c:numCache>
            </c:numRef>
          </c:val>
          <c:extLst>
            <c:ext xmlns:c16="http://schemas.microsoft.com/office/drawing/2014/chart" uri="{C3380CC4-5D6E-409C-BE32-E72D297353CC}">
              <c16:uniqueId val="{00000003-14B6-4803-B848-465D78920FC4}"/>
            </c:ext>
          </c:extLst>
        </c:ser>
        <c:ser>
          <c:idx val="10"/>
          <c:order val="4"/>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Graskompas!#REF!</c:f>
              <c:numCache>
                <c:formatCode>General</c:formatCode>
                <c:ptCount val="1"/>
                <c:pt idx="0">
                  <c:v>1</c:v>
                </c:pt>
              </c:numCache>
            </c:numRef>
          </c:val>
          <c:extLst>
            <c:ext xmlns:c16="http://schemas.microsoft.com/office/drawing/2014/chart" uri="{C3380CC4-5D6E-409C-BE32-E72D297353CC}">
              <c16:uniqueId val="{00000004-14B6-4803-B848-465D78920FC4}"/>
            </c:ext>
          </c:extLst>
        </c:ser>
        <c:ser>
          <c:idx val="11"/>
          <c:order val="5"/>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Graskompas!$B$12:$Q$12</c:f>
              <c:numCache>
                <c:formatCode>General</c:formatCode>
                <c:ptCount val="16"/>
                <c:pt idx="0" formatCode="0%">
                  <c:v>#N/A</c:v>
                </c:pt>
                <c:pt idx="1">
                  <c:v>0</c:v>
                </c:pt>
                <c:pt idx="2" formatCode="0%">
                  <c:v>0.8</c:v>
                </c:pt>
                <c:pt idx="3">
                  <c:v>0</c:v>
                </c:pt>
                <c:pt idx="4" formatCode="0%">
                  <c:v>#N/A</c:v>
                </c:pt>
                <c:pt idx="5">
                  <c:v>0</c:v>
                </c:pt>
                <c:pt idx="6" formatCode="0%">
                  <c:v>#N/A</c:v>
                </c:pt>
                <c:pt idx="7">
                  <c:v>0</c:v>
                </c:pt>
                <c:pt idx="8" formatCode="0%">
                  <c:v>0</c:v>
                </c:pt>
                <c:pt idx="9">
                  <c:v>0</c:v>
                </c:pt>
                <c:pt idx="10" formatCode="0%">
                  <c:v>#N/A</c:v>
                </c:pt>
                <c:pt idx="11">
                  <c:v>0</c:v>
                </c:pt>
                <c:pt idx="12" formatCode="0%">
                  <c:v>0</c:v>
                </c:pt>
                <c:pt idx="13">
                  <c:v>0</c:v>
                </c:pt>
                <c:pt idx="14" formatCode="0%">
                  <c:v>#N/A</c:v>
                </c:pt>
                <c:pt idx="15">
                  <c:v>0</c:v>
                </c:pt>
              </c:numCache>
            </c:numRef>
          </c:val>
          <c:extLst>
            <c:ext xmlns:c16="http://schemas.microsoft.com/office/drawing/2014/chart" uri="{C3380CC4-5D6E-409C-BE32-E72D297353CC}">
              <c16:uniqueId val="{00000005-14B6-4803-B848-465D78920FC4}"/>
            </c:ext>
          </c:extLst>
        </c:ser>
        <c:ser>
          <c:idx val="3"/>
          <c:order val="6"/>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Graskompas!#REF!</c:f>
              <c:numCache>
                <c:formatCode>General</c:formatCode>
                <c:ptCount val="1"/>
                <c:pt idx="0">
                  <c:v>1</c:v>
                </c:pt>
              </c:numCache>
            </c:numRef>
          </c:val>
          <c:extLst>
            <c:ext xmlns:c16="http://schemas.microsoft.com/office/drawing/2014/chart" uri="{C3380CC4-5D6E-409C-BE32-E72D297353CC}">
              <c16:uniqueId val="{00000006-14B6-4803-B848-465D78920FC4}"/>
            </c:ext>
          </c:extLst>
        </c:ser>
        <c:ser>
          <c:idx val="4"/>
          <c:order val="7"/>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Graskompas!#REF!</c:f>
              <c:numCache>
                <c:formatCode>General</c:formatCode>
                <c:ptCount val="1"/>
                <c:pt idx="0">
                  <c:v>1</c:v>
                </c:pt>
              </c:numCache>
            </c:numRef>
          </c:val>
          <c:extLst>
            <c:ext xmlns:c16="http://schemas.microsoft.com/office/drawing/2014/chart" uri="{C3380CC4-5D6E-409C-BE32-E72D297353CC}">
              <c16:uniqueId val="{00000007-14B6-4803-B848-465D78920FC4}"/>
            </c:ext>
          </c:extLst>
        </c:ser>
        <c:ser>
          <c:idx val="5"/>
          <c:order val="8"/>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Graskompas!$B$12:$Q$12</c:f>
              <c:numCache>
                <c:formatCode>General</c:formatCode>
                <c:ptCount val="16"/>
                <c:pt idx="0" formatCode="0%">
                  <c:v>#N/A</c:v>
                </c:pt>
                <c:pt idx="1">
                  <c:v>0</c:v>
                </c:pt>
                <c:pt idx="2" formatCode="0%">
                  <c:v>0.8</c:v>
                </c:pt>
                <c:pt idx="3">
                  <c:v>0</c:v>
                </c:pt>
                <c:pt idx="4" formatCode="0%">
                  <c:v>#N/A</c:v>
                </c:pt>
                <c:pt idx="5">
                  <c:v>0</c:v>
                </c:pt>
                <c:pt idx="6" formatCode="0%">
                  <c:v>#N/A</c:v>
                </c:pt>
                <c:pt idx="7">
                  <c:v>0</c:v>
                </c:pt>
                <c:pt idx="8" formatCode="0%">
                  <c:v>0</c:v>
                </c:pt>
                <c:pt idx="9">
                  <c:v>0</c:v>
                </c:pt>
                <c:pt idx="10" formatCode="0%">
                  <c:v>#N/A</c:v>
                </c:pt>
                <c:pt idx="11">
                  <c:v>0</c:v>
                </c:pt>
                <c:pt idx="12" formatCode="0%">
                  <c:v>0</c:v>
                </c:pt>
                <c:pt idx="13">
                  <c:v>0</c:v>
                </c:pt>
                <c:pt idx="14" formatCode="0%">
                  <c:v>#N/A</c:v>
                </c:pt>
                <c:pt idx="15">
                  <c:v>0</c:v>
                </c:pt>
              </c:numCache>
            </c:numRef>
          </c:val>
          <c:extLst>
            <c:ext xmlns:c16="http://schemas.microsoft.com/office/drawing/2014/chart" uri="{C3380CC4-5D6E-409C-BE32-E72D297353CC}">
              <c16:uniqueId val="{00000008-14B6-4803-B848-465D78920FC4}"/>
            </c:ext>
          </c:extLst>
        </c:ser>
        <c:ser>
          <c:idx val="0"/>
          <c:order val="9"/>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extLst xmlns:c15="http://schemas.microsoft.com/office/drawing/2012/chart"/>
            </c:strRef>
          </c:cat>
          <c:val>
            <c:numRef>
              <c:f>Graskompas!#REF!</c:f>
              <c:numCache>
                <c:formatCode>General</c:formatCode>
                <c:ptCount val="1"/>
                <c:pt idx="0">
                  <c:v>1</c:v>
                </c:pt>
              </c:numCache>
              <c:extLst xmlns:c15="http://schemas.microsoft.com/office/drawing/2012/chart"/>
            </c:numRef>
          </c:val>
          <c:extLst>
            <c:ext xmlns:c16="http://schemas.microsoft.com/office/drawing/2014/chart" uri="{C3380CC4-5D6E-409C-BE32-E72D297353CC}">
              <c16:uniqueId val="{00000009-14B6-4803-B848-465D78920FC4}"/>
            </c:ext>
          </c:extLst>
        </c:ser>
        <c:ser>
          <c:idx val="1"/>
          <c:order val="10"/>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extLst xmlns:c15="http://schemas.microsoft.com/office/drawing/2012/chart"/>
            </c:strRef>
          </c:cat>
          <c:val>
            <c:numRef>
              <c:f>Graskompas!#REF!</c:f>
              <c:numCache>
                <c:formatCode>General</c:formatCode>
                <c:ptCount val="1"/>
                <c:pt idx="0">
                  <c:v>1</c:v>
                </c:pt>
              </c:numCache>
              <c:extLst xmlns:c15="http://schemas.microsoft.com/office/drawing/2012/chart"/>
            </c:numRef>
          </c:val>
          <c:extLst>
            <c:ext xmlns:c16="http://schemas.microsoft.com/office/drawing/2014/chart" uri="{C3380CC4-5D6E-409C-BE32-E72D297353CC}">
              <c16:uniqueId val="{0000000A-14B6-4803-B848-465D78920FC4}"/>
            </c:ext>
          </c:extLst>
        </c:ser>
        <c:ser>
          <c:idx val="2"/>
          <c:order val="11"/>
          <c:spPr>
            <a:ln>
              <a:solidFill>
                <a:schemeClr val="accent6"/>
              </a:solidFill>
            </a:ln>
          </c:spPr>
          <c:marker>
            <c:symbol val="none"/>
          </c:marker>
          <c:cat>
            <c:strRef>
              <c:f>Graskompas!$B$11:$Q$11</c:f>
              <c:strCache>
                <c:ptCount val="15"/>
                <c:pt idx="0">
                  <c:v>Nutriëntenbeheer</c:v>
                </c:pt>
                <c:pt idx="2">
                  <c:v>Kwaliteit graskuil</c:v>
                </c:pt>
                <c:pt idx="4">
                  <c:v>Oogst</c:v>
                </c:pt>
                <c:pt idx="6">
                  <c:v>In- en uitkuilen</c:v>
                </c:pt>
                <c:pt idx="8">
                  <c:v>Zaai</c:v>
                </c:pt>
                <c:pt idx="10">
                  <c:v>Graslandonderhoud</c:v>
                </c:pt>
                <c:pt idx="12">
                  <c:v>Weidegang</c:v>
                </c:pt>
                <c:pt idx="14">
                  <c:v>Waterhuishouding</c:v>
                </c:pt>
              </c:strCache>
            </c:strRef>
          </c:cat>
          <c:val>
            <c:numRef>
              <c:f>Graskompas!$B$12:$Q$12</c:f>
              <c:numCache>
                <c:formatCode>General</c:formatCode>
                <c:ptCount val="16"/>
                <c:pt idx="0" formatCode="0%">
                  <c:v>#N/A</c:v>
                </c:pt>
                <c:pt idx="1">
                  <c:v>0</c:v>
                </c:pt>
                <c:pt idx="2" formatCode="0%">
                  <c:v>0.8</c:v>
                </c:pt>
                <c:pt idx="3">
                  <c:v>0</c:v>
                </c:pt>
                <c:pt idx="4" formatCode="0%">
                  <c:v>#N/A</c:v>
                </c:pt>
                <c:pt idx="5">
                  <c:v>0</c:v>
                </c:pt>
                <c:pt idx="6" formatCode="0%">
                  <c:v>#N/A</c:v>
                </c:pt>
                <c:pt idx="7">
                  <c:v>0</c:v>
                </c:pt>
                <c:pt idx="8" formatCode="0%">
                  <c:v>0</c:v>
                </c:pt>
                <c:pt idx="9">
                  <c:v>0</c:v>
                </c:pt>
                <c:pt idx="10" formatCode="0%">
                  <c:v>#N/A</c:v>
                </c:pt>
                <c:pt idx="11">
                  <c:v>0</c:v>
                </c:pt>
                <c:pt idx="12" formatCode="0%">
                  <c:v>0</c:v>
                </c:pt>
                <c:pt idx="13">
                  <c:v>0</c:v>
                </c:pt>
                <c:pt idx="14" formatCode="0%">
                  <c:v>#N/A</c:v>
                </c:pt>
                <c:pt idx="15">
                  <c:v>0</c:v>
                </c:pt>
              </c:numCache>
            </c:numRef>
          </c:val>
          <c:extLst>
            <c:ext xmlns:c16="http://schemas.microsoft.com/office/drawing/2014/chart" uri="{C3380CC4-5D6E-409C-BE32-E72D297353CC}">
              <c16:uniqueId val="{0000000B-14B6-4803-B848-465D78920FC4}"/>
            </c:ext>
          </c:extLst>
        </c:ser>
        <c:dLbls>
          <c:showLegendKey val="0"/>
          <c:showVal val="0"/>
          <c:showCatName val="0"/>
          <c:showSerName val="0"/>
          <c:showPercent val="0"/>
          <c:showBubbleSize val="0"/>
        </c:dLbls>
        <c:axId val="398829232"/>
        <c:axId val="398830672"/>
        <c:extLst/>
      </c:radarChart>
      <c:catAx>
        <c:axId val="3988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accent6"/>
                </a:solidFill>
                <a:latin typeface="+mn-lt"/>
                <a:ea typeface="+mn-ea"/>
                <a:cs typeface="+mn-cs"/>
              </a:defRPr>
            </a:pPr>
            <a:endParaRPr lang="nl-BE"/>
          </a:p>
        </c:txPr>
        <c:crossAx val="398830672"/>
        <c:crosses val="autoZero"/>
        <c:auto val="1"/>
        <c:lblAlgn val="ctr"/>
        <c:lblOffset val="100"/>
        <c:noMultiLvlLbl val="0"/>
      </c:catAx>
      <c:valAx>
        <c:axId val="398830672"/>
        <c:scaling>
          <c:orientation val="minMax"/>
        </c:scaling>
        <c:delete val="0"/>
        <c:axPos val="l"/>
        <c:majorGridlines>
          <c:spPr>
            <a:ln w="9525" cap="flat" cmpd="sng" algn="ctr">
              <a:solidFill>
                <a:schemeClr val="bg1">
                  <a:lumMod val="7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BE"/>
          </a:p>
        </c:txPr>
        <c:crossAx val="398829232"/>
        <c:crosses val="autoZero"/>
        <c:crossBetween val="between"/>
      </c:valAx>
      <c:spPr>
        <a:noFill/>
      </c:spPr>
    </c:plotArea>
    <c:plotVisOnly val="0"/>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Graskompas!$S$11</c:f>
              <c:strCache>
                <c:ptCount val="1"/>
                <c:pt idx="0">
                  <c:v>Gemiddeld</c:v>
                </c:pt>
              </c:strCache>
            </c:strRef>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pictureOptions>
              <c:pictureFormat val="stackScale"/>
            </c:pictureOptions>
            <c:extLst>
              <c:ext xmlns:c16="http://schemas.microsoft.com/office/drawing/2014/chart" uri="{C3380CC4-5D6E-409C-BE32-E72D297353CC}">
                <c16:uniqueId val="{00000001-07A8-4DDD-894A-5FBEBC7C80E3}"/>
              </c:ext>
            </c:extLst>
          </c:dPt>
          <c:dLbls>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tx2">
                        <a:lumMod val="25000"/>
                        <a:lumOff val="75000"/>
                      </a:schemeClr>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Graskompas!$S$12</c:f>
              <c:numCache>
                <c:formatCode>0%</c:formatCode>
                <c:ptCount val="1"/>
                <c:pt idx="0">
                  <c:v>#N/A</c:v>
                </c:pt>
              </c:numCache>
            </c:numRef>
          </c:val>
          <c:extLst>
            <c:ext xmlns:c16="http://schemas.microsoft.com/office/drawing/2014/chart" uri="{C3380CC4-5D6E-409C-BE32-E72D297353CC}">
              <c16:uniqueId val="{00000000-07A8-4DDD-894A-5FBEBC7C80E3}"/>
            </c:ext>
          </c:extLst>
        </c:ser>
        <c:dLbls>
          <c:showLegendKey val="0"/>
          <c:showVal val="0"/>
          <c:showCatName val="0"/>
          <c:showSerName val="0"/>
          <c:showPercent val="0"/>
          <c:showBubbleSize val="0"/>
        </c:dLbls>
        <c:gapWidth val="0"/>
        <c:axId val="844597039"/>
        <c:axId val="844597519"/>
      </c:barChart>
      <c:catAx>
        <c:axId val="844597039"/>
        <c:scaling>
          <c:orientation val="minMax"/>
        </c:scaling>
        <c:delete val="1"/>
        <c:axPos val="l"/>
        <c:numFmt formatCode="General" sourceLinked="1"/>
        <c:majorTickMark val="none"/>
        <c:minorTickMark val="none"/>
        <c:tickLblPos val="nextTo"/>
        <c:crossAx val="844597519"/>
        <c:crosses val="autoZero"/>
        <c:auto val="1"/>
        <c:lblAlgn val="ctr"/>
        <c:lblOffset val="100"/>
        <c:noMultiLvlLbl val="0"/>
      </c:catAx>
      <c:valAx>
        <c:axId val="844597519"/>
        <c:scaling>
          <c:orientation val="minMax"/>
          <c:max val="0.97"/>
          <c:min val="0"/>
        </c:scaling>
        <c:delete val="0"/>
        <c:axPos val="b"/>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mn-lt"/>
                <a:ea typeface="+mn-ea"/>
                <a:cs typeface="+mn-cs"/>
              </a:defRPr>
            </a:pPr>
            <a:endParaRPr lang="nl-BE"/>
          </a:p>
        </c:txPr>
        <c:crossAx val="84459703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2676-4C56-9117-54A06D0EB82F}"/>
              </c:ext>
            </c:extLst>
          </c:dPt>
          <c:val>
            <c:numRef>
              <c:f>Graskompas!$AC$160</c:f>
              <c:numCache>
                <c:formatCode>General</c:formatCode>
                <c:ptCount val="1"/>
                <c:pt idx="0">
                  <c:v>0</c:v>
                </c:pt>
              </c:numCache>
            </c:numRef>
          </c:val>
          <c:extLst>
            <c:ext xmlns:c16="http://schemas.microsoft.com/office/drawing/2014/chart" uri="{C3380CC4-5D6E-409C-BE32-E72D297353CC}">
              <c16:uniqueId val="{00000000-2676-4C56-9117-54A06D0EB82F}"/>
            </c:ext>
          </c:extLst>
        </c:ser>
        <c:dLbls>
          <c:showLegendKey val="0"/>
          <c:showVal val="0"/>
          <c:showCatName val="0"/>
          <c:showSerName val="0"/>
          <c:showPercent val="0"/>
          <c:showBubbleSize val="0"/>
        </c:dLbls>
        <c:gapWidth val="0"/>
        <c:axId val="506825519"/>
        <c:axId val="506826959"/>
      </c:barChart>
      <c:catAx>
        <c:axId val="506825519"/>
        <c:scaling>
          <c:orientation val="minMax"/>
        </c:scaling>
        <c:delete val="1"/>
        <c:axPos val="l"/>
        <c:numFmt formatCode="General" sourceLinked="1"/>
        <c:majorTickMark val="none"/>
        <c:minorTickMark val="none"/>
        <c:tickLblPos val="nextTo"/>
        <c:crossAx val="506826959"/>
        <c:crosses val="autoZero"/>
        <c:auto val="1"/>
        <c:lblAlgn val="ctr"/>
        <c:lblOffset val="100"/>
        <c:noMultiLvlLbl val="0"/>
      </c:catAx>
      <c:valAx>
        <c:axId val="506826959"/>
        <c:scaling>
          <c:orientation val="minMax"/>
          <c:max val="1"/>
        </c:scaling>
        <c:delete val="1"/>
        <c:axPos val="b"/>
        <c:numFmt formatCode="General" sourceLinked="1"/>
        <c:majorTickMark val="none"/>
        <c:minorTickMark val="none"/>
        <c:tickLblPos val="nextTo"/>
        <c:crossAx val="50682551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Schaduwdoek</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840-41C3-A8BF-F063F315ABEA}"/>
              </c:ext>
            </c:extLst>
          </c:dPt>
          <c:val>
            <c:numRef>
              <c:f>Graskompas!$AE$177</c:f>
              <c:numCache>
                <c:formatCode>General</c:formatCode>
                <c:ptCount val="1"/>
                <c:pt idx="0">
                  <c:v>0</c:v>
                </c:pt>
              </c:numCache>
            </c:numRef>
          </c:val>
          <c:extLst>
            <c:ext xmlns:c16="http://schemas.microsoft.com/office/drawing/2014/chart" uri="{C3380CC4-5D6E-409C-BE32-E72D297353CC}">
              <c16:uniqueId val="{00000002-A840-41C3-A8BF-F063F315ABE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2</c:v>
          </c:tx>
          <c:spPr>
            <a:blipFill>
              <a:blip xmlns:r="http://schemas.openxmlformats.org/officeDocument/2006/relationships" r:embed="rId3"/>
              <a:stretch>
                <a:fillRect/>
              </a:stretch>
            </a:blipFill>
            <a:ln>
              <a:noFill/>
            </a:ln>
            <a:effectLst/>
          </c:spPr>
          <c:invertIfNegative val="0"/>
          <c:val>
            <c:numRef>
              <c:f>Graskompas!$AC$161</c:f>
              <c:numCache>
                <c:formatCode>General</c:formatCode>
                <c:ptCount val="1"/>
                <c:pt idx="0">
                  <c:v>0</c:v>
                </c:pt>
              </c:numCache>
            </c:numRef>
          </c:val>
          <c:extLst>
            <c:ext xmlns:c16="http://schemas.microsoft.com/office/drawing/2014/chart" uri="{C3380CC4-5D6E-409C-BE32-E72D297353CC}">
              <c16:uniqueId val="{00000002-BBCD-47A0-8CB3-BFFF33AA167E}"/>
            </c:ext>
          </c:extLst>
        </c:ser>
        <c:dLbls>
          <c:showLegendKey val="0"/>
          <c:showVal val="0"/>
          <c:showCatName val="0"/>
          <c:showSerName val="0"/>
          <c:showPercent val="0"/>
          <c:showBubbleSize val="0"/>
        </c:dLbls>
        <c:gapWidth val="0"/>
        <c:axId val="1149296447"/>
        <c:axId val="1149299327"/>
      </c:barChart>
      <c:catAx>
        <c:axId val="1149296447"/>
        <c:scaling>
          <c:orientation val="minMax"/>
        </c:scaling>
        <c:delete val="1"/>
        <c:axPos val="l"/>
        <c:numFmt formatCode="General" sourceLinked="1"/>
        <c:majorTickMark val="none"/>
        <c:minorTickMark val="none"/>
        <c:tickLblPos val="nextTo"/>
        <c:crossAx val="1149299327"/>
        <c:crosses val="autoZero"/>
        <c:auto val="1"/>
        <c:lblAlgn val="ctr"/>
        <c:lblOffset val="100"/>
        <c:noMultiLvlLbl val="0"/>
      </c:catAx>
      <c:valAx>
        <c:axId val="1149299327"/>
        <c:scaling>
          <c:orientation val="minMax"/>
          <c:max val="1"/>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11492964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83362465431868"/>
          <c:y val="0.2201427260896465"/>
          <c:w val="0.69587197324212546"/>
          <c:h val="0.62745077123290594"/>
        </c:manualLayout>
      </c:layout>
      <c:barChart>
        <c:barDir val="bar"/>
        <c:grouping val="percentStacked"/>
        <c:varyColors val="0"/>
        <c:ser>
          <c:idx val="0"/>
          <c:order val="0"/>
          <c:tx>
            <c:v>3</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4-5F0C-49A9-9F27-C6A73B361536}"/>
              </c:ext>
            </c:extLst>
          </c:dPt>
          <c:val>
            <c:numRef>
              <c:f>Graskompas!$AC$162</c:f>
              <c:numCache>
                <c:formatCode>General</c:formatCode>
                <c:ptCount val="1"/>
                <c:pt idx="0">
                  <c:v>0</c:v>
                </c:pt>
              </c:numCache>
            </c:numRef>
          </c:val>
          <c:extLst>
            <c:ext xmlns:c16="http://schemas.microsoft.com/office/drawing/2014/chart" uri="{C3380CC4-5D6E-409C-BE32-E72D297353CC}">
              <c16:uniqueId val="{00000003-5F0C-49A9-9F27-C6A73B361536}"/>
            </c:ext>
          </c:extLst>
        </c:ser>
        <c:dLbls>
          <c:showLegendKey val="0"/>
          <c:showVal val="0"/>
          <c:showCatName val="0"/>
          <c:showSerName val="0"/>
          <c:showPercent val="0"/>
          <c:showBubbleSize val="0"/>
        </c:dLbls>
        <c:gapWidth val="0"/>
        <c:overlap val="100"/>
        <c:axId val="864419791"/>
        <c:axId val="864422191"/>
      </c:barChart>
      <c:catAx>
        <c:axId val="864419791"/>
        <c:scaling>
          <c:orientation val="minMax"/>
        </c:scaling>
        <c:delete val="1"/>
        <c:axPos val="l"/>
        <c:numFmt formatCode="General" sourceLinked="1"/>
        <c:majorTickMark val="none"/>
        <c:minorTickMark val="none"/>
        <c:tickLblPos val="nextTo"/>
        <c:crossAx val="864422191"/>
        <c:crosses val="autoZero"/>
        <c:auto val="1"/>
        <c:lblAlgn val="ctr"/>
        <c:lblOffset val="100"/>
        <c:noMultiLvlLbl val="0"/>
      </c:catAx>
      <c:valAx>
        <c:axId val="864422191"/>
        <c:scaling>
          <c:orientation val="minMax"/>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86441979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803149606299221E-2"/>
          <c:y val="0.16245370370370371"/>
          <c:w val="0.89972462817147858"/>
          <c:h val="0.72125801983085447"/>
        </c:manualLayout>
      </c:layout>
      <c:barChart>
        <c:barDir val="bar"/>
        <c:grouping val="clustered"/>
        <c:varyColors val="0"/>
        <c:ser>
          <c:idx val="0"/>
          <c:order val="0"/>
          <c:tx>
            <c:v>4</c:v>
          </c:tx>
          <c:spPr>
            <a:blipFill>
              <a:blip xmlns:r="http://schemas.openxmlformats.org/officeDocument/2006/relationships" r:embed="rId3"/>
              <a:stretch>
                <a:fillRect/>
              </a:stretch>
            </a:blipFill>
            <a:ln>
              <a:noFill/>
            </a:ln>
            <a:effectLst/>
          </c:spPr>
          <c:invertIfNegative val="0"/>
          <c:val>
            <c:numRef>
              <c:f>Graskompas!$AC$163</c:f>
              <c:numCache>
                <c:formatCode>General</c:formatCode>
                <c:ptCount val="1"/>
                <c:pt idx="0">
                  <c:v>0</c:v>
                </c:pt>
              </c:numCache>
            </c:numRef>
          </c:val>
          <c:extLst>
            <c:ext xmlns:c16="http://schemas.microsoft.com/office/drawing/2014/chart" uri="{C3380CC4-5D6E-409C-BE32-E72D297353CC}">
              <c16:uniqueId val="{00000001-AD00-4543-AFF7-6B989618BB57}"/>
            </c:ext>
          </c:extLst>
        </c:ser>
        <c:dLbls>
          <c:showLegendKey val="0"/>
          <c:showVal val="0"/>
          <c:showCatName val="0"/>
          <c:showSerName val="0"/>
          <c:showPercent val="0"/>
          <c:showBubbleSize val="0"/>
        </c:dLbls>
        <c:gapWidth val="0"/>
        <c:axId val="851371487"/>
        <c:axId val="851367647"/>
      </c:barChart>
      <c:catAx>
        <c:axId val="851371487"/>
        <c:scaling>
          <c:orientation val="minMax"/>
        </c:scaling>
        <c:delete val="1"/>
        <c:axPos val="l"/>
        <c:numFmt formatCode="General" sourceLinked="1"/>
        <c:majorTickMark val="none"/>
        <c:minorTickMark val="none"/>
        <c:tickLblPos val="nextTo"/>
        <c:crossAx val="851367647"/>
        <c:crosses val="autoZero"/>
        <c:auto val="1"/>
        <c:lblAlgn val="ctr"/>
        <c:lblOffset val="100"/>
        <c:noMultiLvlLbl val="0"/>
      </c:catAx>
      <c:valAx>
        <c:axId val="851367647"/>
        <c:scaling>
          <c:orientation val="minMax"/>
          <c:max val="1"/>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85137148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9</c:v>
          </c:tx>
          <c:spPr>
            <a:blipFill>
              <a:blip xmlns:r="http://schemas.openxmlformats.org/officeDocument/2006/relationships" r:embed="rId3"/>
              <a:stretch>
                <a:fillRect/>
              </a:stretch>
            </a:blipFill>
            <a:ln>
              <a:noFill/>
            </a:ln>
            <a:effectLst/>
          </c:spPr>
          <c:invertIfNegative val="0"/>
          <c:val>
            <c:numRef>
              <c:f>Graskompas!$AC$168</c:f>
              <c:numCache>
                <c:formatCode>General</c:formatCode>
                <c:ptCount val="1"/>
                <c:pt idx="0">
                  <c:v>0</c:v>
                </c:pt>
              </c:numCache>
            </c:numRef>
          </c:val>
          <c:extLst>
            <c:ext xmlns:c16="http://schemas.microsoft.com/office/drawing/2014/chart" uri="{C3380CC4-5D6E-409C-BE32-E72D297353CC}">
              <c16:uniqueId val="{00000001-BD1D-429C-A19D-F25DB96CC802}"/>
            </c:ext>
          </c:extLst>
        </c:ser>
        <c:dLbls>
          <c:showLegendKey val="0"/>
          <c:showVal val="0"/>
          <c:showCatName val="0"/>
          <c:showSerName val="0"/>
          <c:showPercent val="0"/>
          <c:showBubbleSize val="0"/>
        </c:dLbls>
        <c:gapWidth val="0"/>
        <c:axId val="1450412143"/>
        <c:axId val="1450415023"/>
      </c:barChart>
      <c:catAx>
        <c:axId val="1450412143"/>
        <c:scaling>
          <c:orientation val="minMax"/>
        </c:scaling>
        <c:delete val="1"/>
        <c:axPos val="l"/>
        <c:numFmt formatCode="General" sourceLinked="1"/>
        <c:majorTickMark val="none"/>
        <c:minorTickMark val="none"/>
        <c:tickLblPos val="nextTo"/>
        <c:crossAx val="1450415023"/>
        <c:crosses val="autoZero"/>
        <c:auto val="1"/>
        <c:lblAlgn val="ctr"/>
        <c:lblOffset val="100"/>
        <c:noMultiLvlLbl val="0"/>
      </c:catAx>
      <c:valAx>
        <c:axId val="1450415023"/>
        <c:scaling>
          <c:orientation val="minMax"/>
          <c:max val="1"/>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145041214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100" baseline="0">
          <a:solidFill>
            <a:schemeClr val="accent6"/>
          </a:solidFill>
        </a:defRPr>
      </a:pPr>
      <a:endParaRPr lang="nl-B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10</c:v>
          </c:tx>
          <c:spPr>
            <a:blipFill>
              <a:blip xmlns:r="http://schemas.openxmlformats.org/officeDocument/2006/relationships" r:embed="rId3"/>
              <a:stretch>
                <a:fillRect/>
              </a:stretch>
            </a:blipFill>
            <a:ln>
              <a:noFill/>
            </a:ln>
            <a:effectLst/>
          </c:spPr>
          <c:invertIfNegative val="0"/>
          <c:val>
            <c:numRef>
              <c:f>Graskompas!$AC$169</c:f>
              <c:numCache>
                <c:formatCode>General</c:formatCode>
                <c:ptCount val="1"/>
                <c:pt idx="0">
                  <c:v>0</c:v>
                </c:pt>
              </c:numCache>
            </c:numRef>
          </c:val>
          <c:extLst>
            <c:ext xmlns:c16="http://schemas.microsoft.com/office/drawing/2014/chart" uri="{C3380CC4-5D6E-409C-BE32-E72D297353CC}">
              <c16:uniqueId val="{00000001-820B-49A5-AE27-756D89F4FF07}"/>
            </c:ext>
          </c:extLst>
        </c:ser>
        <c:dLbls>
          <c:showLegendKey val="0"/>
          <c:showVal val="0"/>
          <c:showCatName val="0"/>
          <c:showSerName val="0"/>
          <c:showPercent val="0"/>
          <c:showBubbleSize val="0"/>
        </c:dLbls>
        <c:gapWidth val="0"/>
        <c:axId val="1450359343"/>
        <c:axId val="1450359823"/>
      </c:barChart>
      <c:catAx>
        <c:axId val="1450359343"/>
        <c:scaling>
          <c:orientation val="minMax"/>
        </c:scaling>
        <c:delete val="1"/>
        <c:axPos val="l"/>
        <c:numFmt formatCode="General" sourceLinked="1"/>
        <c:majorTickMark val="none"/>
        <c:minorTickMark val="none"/>
        <c:tickLblPos val="nextTo"/>
        <c:crossAx val="1450359823"/>
        <c:crosses val="autoZero"/>
        <c:auto val="1"/>
        <c:lblAlgn val="ctr"/>
        <c:lblOffset val="100"/>
        <c:noMultiLvlLbl val="0"/>
      </c:catAx>
      <c:valAx>
        <c:axId val="1450359823"/>
        <c:scaling>
          <c:orientation val="minMax"/>
          <c:max val="1"/>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145035934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6</c:v>
          </c:tx>
          <c:spPr>
            <a:blipFill>
              <a:blip xmlns:r="http://schemas.openxmlformats.org/officeDocument/2006/relationships" r:embed="rId3"/>
              <a:stretch>
                <a:fillRect/>
              </a:stretch>
            </a:blipFill>
            <a:ln>
              <a:noFill/>
            </a:ln>
            <a:effectLst/>
          </c:spPr>
          <c:invertIfNegative val="0"/>
          <c:val>
            <c:numRef>
              <c:f>Graskompas!$AC$165</c:f>
              <c:numCache>
                <c:formatCode>General</c:formatCode>
                <c:ptCount val="1"/>
                <c:pt idx="0">
                  <c:v>0</c:v>
                </c:pt>
              </c:numCache>
            </c:numRef>
          </c:val>
          <c:extLst>
            <c:ext xmlns:c16="http://schemas.microsoft.com/office/drawing/2014/chart" uri="{C3380CC4-5D6E-409C-BE32-E72D297353CC}">
              <c16:uniqueId val="{00000001-C796-4D9C-8139-58CB7C5280C6}"/>
            </c:ext>
          </c:extLst>
        </c:ser>
        <c:dLbls>
          <c:showLegendKey val="0"/>
          <c:showVal val="0"/>
          <c:showCatName val="0"/>
          <c:showSerName val="0"/>
          <c:showPercent val="0"/>
          <c:showBubbleSize val="0"/>
        </c:dLbls>
        <c:gapWidth val="0"/>
        <c:axId val="384780255"/>
        <c:axId val="384779775"/>
      </c:barChart>
      <c:catAx>
        <c:axId val="384780255"/>
        <c:scaling>
          <c:orientation val="minMax"/>
        </c:scaling>
        <c:delete val="1"/>
        <c:axPos val="l"/>
        <c:numFmt formatCode="General" sourceLinked="1"/>
        <c:majorTickMark val="none"/>
        <c:minorTickMark val="none"/>
        <c:tickLblPos val="nextTo"/>
        <c:crossAx val="384779775"/>
        <c:crosses val="autoZero"/>
        <c:auto val="1"/>
        <c:lblAlgn val="ctr"/>
        <c:lblOffset val="100"/>
        <c:noMultiLvlLbl val="0"/>
      </c:catAx>
      <c:valAx>
        <c:axId val="384779775"/>
        <c:scaling>
          <c:orientation val="minMax"/>
          <c:max val="1"/>
        </c:scaling>
        <c:delete val="1"/>
        <c:axPos val="b"/>
        <c:numFmt formatCode="General" sourceLinked="1"/>
        <c:majorTickMark val="none"/>
        <c:minorTickMark val="none"/>
        <c:tickLblPos val="nextTo"/>
        <c:crossAx val="38478025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11</c:v>
          </c:tx>
          <c:spPr>
            <a:blipFill>
              <a:blip xmlns:r="http://schemas.openxmlformats.org/officeDocument/2006/relationships" r:embed="rId3"/>
              <a:stretch>
                <a:fillRect/>
              </a:stretch>
            </a:blipFill>
            <a:ln>
              <a:noFill/>
            </a:ln>
            <a:effectLst/>
          </c:spPr>
          <c:invertIfNegative val="0"/>
          <c:val>
            <c:numRef>
              <c:f>Graskompas!$AC$170</c:f>
              <c:numCache>
                <c:formatCode>General</c:formatCode>
                <c:ptCount val="1"/>
                <c:pt idx="0">
                  <c:v>0</c:v>
                </c:pt>
              </c:numCache>
            </c:numRef>
          </c:val>
          <c:extLst>
            <c:ext xmlns:c16="http://schemas.microsoft.com/office/drawing/2014/chart" uri="{C3380CC4-5D6E-409C-BE32-E72D297353CC}">
              <c16:uniqueId val="{00000001-3CBB-4C6D-9FBB-4617896FACF9}"/>
            </c:ext>
          </c:extLst>
        </c:ser>
        <c:dLbls>
          <c:showLegendKey val="0"/>
          <c:showVal val="0"/>
          <c:showCatName val="0"/>
          <c:showSerName val="0"/>
          <c:showPercent val="0"/>
          <c:showBubbleSize val="0"/>
        </c:dLbls>
        <c:gapWidth val="0"/>
        <c:axId val="374098143"/>
        <c:axId val="374089503"/>
      </c:barChart>
      <c:catAx>
        <c:axId val="374098143"/>
        <c:scaling>
          <c:orientation val="minMax"/>
        </c:scaling>
        <c:delete val="1"/>
        <c:axPos val="l"/>
        <c:numFmt formatCode="General" sourceLinked="1"/>
        <c:majorTickMark val="none"/>
        <c:minorTickMark val="none"/>
        <c:tickLblPos val="nextTo"/>
        <c:crossAx val="374089503"/>
        <c:crosses val="autoZero"/>
        <c:auto val="1"/>
        <c:lblAlgn val="ctr"/>
        <c:lblOffset val="100"/>
        <c:noMultiLvlLbl val="0"/>
      </c:catAx>
      <c:valAx>
        <c:axId val="374089503"/>
        <c:scaling>
          <c:orientation val="minMax"/>
          <c:max val="1"/>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37409814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7</c:v>
          </c:tx>
          <c:spPr>
            <a:blipFill>
              <a:blip xmlns:r="http://schemas.openxmlformats.org/officeDocument/2006/relationships" r:embed="rId3"/>
              <a:stretch>
                <a:fillRect/>
              </a:stretch>
            </a:blipFill>
            <a:ln>
              <a:noFill/>
            </a:ln>
            <a:effectLst/>
          </c:spPr>
          <c:invertIfNegative val="0"/>
          <c:val>
            <c:numRef>
              <c:f>Graskompas!$AC$166</c:f>
              <c:numCache>
                <c:formatCode>General</c:formatCode>
                <c:ptCount val="1"/>
                <c:pt idx="0">
                  <c:v>0</c:v>
                </c:pt>
              </c:numCache>
            </c:numRef>
          </c:val>
          <c:extLst>
            <c:ext xmlns:c16="http://schemas.microsoft.com/office/drawing/2014/chart" uri="{C3380CC4-5D6E-409C-BE32-E72D297353CC}">
              <c16:uniqueId val="{00000001-5F24-49F0-B829-7B2D8BE7BECA}"/>
            </c:ext>
          </c:extLst>
        </c:ser>
        <c:dLbls>
          <c:showLegendKey val="0"/>
          <c:showVal val="0"/>
          <c:showCatName val="0"/>
          <c:showSerName val="0"/>
          <c:showPercent val="0"/>
          <c:showBubbleSize val="0"/>
        </c:dLbls>
        <c:gapWidth val="0"/>
        <c:axId val="477426239"/>
        <c:axId val="477426719"/>
      </c:barChart>
      <c:catAx>
        <c:axId val="477426239"/>
        <c:scaling>
          <c:orientation val="minMax"/>
        </c:scaling>
        <c:delete val="1"/>
        <c:axPos val="l"/>
        <c:numFmt formatCode="General" sourceLinked="1"/>
        <c:majorTickMark val="none"/>
        <c:minorTickMark val="none"/>
        <c:tickLblPos val="nextTo"/>
        <c:crossAx val="477426719"/>
        <c:crosses val="autoZero"/>
        <c:auto val="1"/>
        <c:lblAlgn val="ctr"/>
        <c:lblOffset val="100"/>
        <c:noMultiLvlLbl val="0"/>
      </c:catAx>
      <c:valAx>
        <c:axId val="477426719"/>
        <c:scaling>
          <c:orientation val="minMax"/>
          <c:max val="1"/>
        </c:scaling>
        <c:delete val="1"/>
        <c:axPos val="b"/>
        <c:numFmt formatCode="General" sourceLinked="1"/>
        <c:majorTickMark val="none"/>
        <c:minorTickMark val="none"/>
        <c:tickLblPos val="nextTo"/>
        <c:crossAx val="47742623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8</c:v>
          </c:tx>
          <c:spPr>
            <a:blipFill>
              <a:blip xmlns:r="http://schemas.openxmlformats.org/officeDocument/2006/relationships" r:embed="rId3"/>
              <a:stretch>
                <a:fillRect/>
              </a:stretch>
            </a:blipFill>
            <a:ln>
              <a:noFill/>
            </a:ln>
            <a:effectLst/>
          </c:spPr>
          <c:invertIfNegative val="0"/>
          <c:val>
            <c:numRef>
              <c:f>Graskompas!$AC$167</c:f>
              <c:numCache>
                <c:formatCode>General</c:formatCode>
                <c:ptCount val="1"/>
                <c:pt idx="0">
                  <c:v>0</c:v>
                </c:pt>
              </c:numCache>
            </c:numRef>
          </c:val>
          <c:extLst>
            <c:ext xmlns:c16="http://schemas.microsoft.com/office/drawing/2014/chart" uri="{C3380CC4-5D6E-409C-BE32-E72D297353CC}">
              <c16:uniqueId val="{00000001-13D1-445A-8087-38BECDE8652A}"/>
            </c:ext>
          </c:extLst>
        </c:ser>
        <c:dLbls>
          <c:showLegendKey val="0"/>
          <c:showVal val="0"/>
          <c:showCatName val="0"/>
          <c:showSerName val="0"/>
          <c:showPercent val="0"/>
          <c:showBubbleSize val="0"/>
        </c:dLbls>
        <c:gapWidth val="0"/>
        <c:axId val="473605647"/>
        <c:axId val="473614287"/>
      </c:barChart>
      <c:catAx>
        <c:axId val="473605647"/>
        <c:scaling>
          <c:orientation val="minMax"/>
        </c:scaling>
        <c:delete val="1"/>
        <c:axPos val="l"/>
        <c:numFmt formatCode="General" sourceLinked="1"/>
        <c:majorTickMark val="none"/>
        <c:minorTickMark val="none"/>
        <c:tickLblPos val="nextTo"/>
        <c:crossAx val="473614287"/>
        <c:crosses val="autoZero"/>
        <c:auto val="1"/>
        <c:lblAlgn val="ctr"/>
        <c:lblOffset val="100"/>
        <c:noMultiLvlLbl val="0"/>
      </c:catAx>
      <c:valAx>
        <c:axId val="473614287"/>
        <c:scaling>
          <c:orientation val="minMax"/>
          <c:max val="1"/>
        </c:scaling>
        <c:delete val="1"/>
        <c:axPos val="b"/>
        <c:numFmt formatCode="General" sourceLinked="1"/>
        <c:majorTickMark val="none"/>
        <c:minorTickMark val="none"/>
        <c:tickLblPos val="nextTo"/>
        <c:crossAx val="4736056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29708613158555103"/>
          <c:w val="0.80693641955294282"/>
          <c:h val="0.70291386841444903"/>
        </c:manualLayout>
      </c:layout>
      <c:barChart>
        <c:barDir val="col"/>
        <c:grouping val="clustered"/>
        <c:varyColors val="0"/>
        <c:ser>
          <c:idx val="0"/>
          <c:order val="0"/>
          <c:spPr>
            <a:noFill/>
            <a:ln>
              <a:noFill/>
            </a:ln>
            <a:effectLst/>
          </c:spPr>
          <c:invertIfNegative val="0"/>
          <c:dLbls>
            <c:dLbl>
              <c:idx val="0"/>
              <c:layout>
                <c:manualLayout>
                  <c:x val="0"/>
                  <c:y val="0.34257624927163915"/>
                </c:manualLayout>
              </c:layout>
              <c:tx>
                <c:rich>
                  <a:bodyPr/>
                  <a:lstStyle/>
                  <a:p>
                    <a:fld id="{5FBAF1A6-25F7-4F27-894D-1F40F2CD7876}" type="VALUE">
                      <a:rPr lang="en-US" sz="2000">
                        <a:solidFill>
                          <a:schemeClr val="accent6"/>
                        </a:solidFill>
                      </a:rPr>
                      <a:pPr/>
                      <a:t>[WAARDE]</a:t>
                    </a:fld>
                    <a:endParaRPr lang="nl-BE"/>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4AE2-4758-8C4F-BA2A373B3132}"/>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tx2">
                        <a:lumMod val="25000"/>
                        <a:lumOff val="75000"/>
                      </a:schemeClr>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Graskompas!$AA$160</c:f>
              <c:numCache>
                <c:formatCode>General</c:formatCode>
                <c:ptCount val="1"/>
                <c:pt idx="0">
                  <c:v>0</c:v>
                </c:pt>
              </c:numCache>
            </c:numRef>
          </c:val>
          <c:extLst>
            <c:ext xmlns:c16="http://schemas.microsoft.com/office/drawing/2014/chart" uri="{C3380CC4-5D6E-409C-BE32-E72D297353CC}">
              <c16:uniqueId val="{00000000-4AE2-4758-8C4F-BA2A373B3132}"/>
            </c:ext>
          </c:extLst>
        </c:ser>
        <c:dLbls>
          <c:showLegendKey val="0"/>
          <c:showVal val="0"/>
          <c:showCatName val="0"/>
          <c:showSerName val="0"/>
          <c:showPercent val="0"/>
          <c:showBubbleSize val="0"/>
        </c:dLbls>
        <c:gapWidth val="219"/>
        <c:overlap val="-27"/>
        <c:axId val="1083463503"/>
        <c:axId val="1083466383"/>
      </c:barChart>
      <c:catAx>
        <c:axId val="1083463503"/>
        <c:scaling>
          <c:orientation val="minMax"/>
        </c:scaling>
        <c:delete val="1"/>
        <c:axPos val="b"/>
        <c:numFmt formatCode="General" sourceLinked="1"/>
        <c:majorTickMark val="none"/>
        <c:minorTickMark val="none"/>
        <c:tickLblPos val="nextTo"/>
        <c:crossAx val="1083466383"/>
        <c:crosses val="autoZero"/>
        <c:auto val="1"/>
        <c:lblAlgn val="ctr"/>
        <c:lblOffset val="100"/>
        <c:noMultiLvlLbl val="0"/>
      </c:catAx>
      <c:valAx>
        <c:axId val="1083466383"/>
        <c:scaling>
          <c:orientation val="minMax"/>
        </c:scaling>
        <c:delete val="1"/>
        <c:axPos val="l"/>
        <c:numFmt formatCode="General" sourceLinked="1"/>
        <c:majorTickMark val="none"/>
        <c:minorTickMark val="none"/>
        <c:tickLblPos val="nextTo"/>
        <c:crossAx val="108346350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5</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2-58DF-46AB-9789-B96A79D9D188}"/>
              </c:ext>
            </c:extLst>
          </c:dPt>
          <c:val>
            <c:numRef>
              <c:f>Graskompas!$AC$164</c:f>
              <c:numCache>
                <c:formatCode>General</c:formatCode>
                <c:ptCount val="1"/>
                <c:pt idx="0">
                  <c:v>0</c:v>
                </c:pt>
              </c:numCache>
            </c:numRef>
          </c:val>
          <c:extLst>
            <c:ext xmlns:c16="http://schemas.microsoft.com/office/drawing/2014/chart" uri="{C3380CC4-5D6E-409C-BE32-E72D297353CC}">
              <c16:uniqueId val="{00000001-58DF-46AB-9789-B96A79D9D188}"/>
            </c:ext>
          </c:extLst>
        </c:ser>
        <c:dLbls>
          <c:showLegendKey val="0"/>
          <c:showVal val="0"/>
          <c:showCatName val="0"/>
          <c:showSerName val="0"/>
          <c:showPercent val="0"/>
          <c:showBubbleSize val="0"/>
        </c:dLbls>
        <c:gapWidth val="0"/>
        <c:axId val="477444959"/>
        <c:axId val="477440159"/>
      </c:barChart>
      <c:catAx>
        <c:axId val="477444959"/>
        <c:scaling>
          <c:orientation val="minMax"/>
        </c:scaling>
        <c:delete val="1"/>
        <c:axPos val="l"/>
        <c:numFmt formatCode="General" sourceLinked="1"/>
        <c:majorTickMark val="none"/>
        <c:minorTickMark val="none"/>
        <c:tickLblPos val="nextTo"/>
        <c:crossAx val="477440159"/>
        <c:crosses val="autoZero"/>
        <c:auto val="1"/>
        <c:lblAlgn val="ctr"/>
        <c:lblOffset val="100"/>
        <c:noMultiLvlLbl val="0"/>
      </c:catAx>
      <c:valAx>
        <c:axId val="477440159"/>
        <c:scaling>
          <c:orientation val="minMax"/>
          <c:max val="1"/>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accent6"/>
                </a:solidFill>
                <a:latin typeface="+mn-lt"/>
                <a:ea typeface="+mn-ea"/>
                <a:cs typeface="+mn-cs"/>
              </a:defRPr>
            </a:pPr>
            <a:endParaRPr lang="nl-BE"/>
          </a:p>
        </c:txPr>
        <c:crossAx val="47744495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Zaaidatum_rood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3-87B7-4CCA-880D-5831DB0BF323}"/>
              </c:ext>
            </c:extLst>
          </c:dPt>
          <c:val>
            <c:numRef>
              <c:f>Graskompas!$AG$79</c:f>
              <c:numCache>
                <c:formatCode>General</c:formatCode>
                <c:ptCount val="1"/>
                <c:pt idx="0">
                  <c:v>1</c:v>
                </c:pt>
              </c:numCache>
            </c:numRef>
          </c:val>
          <c:extLst>
            <c:ext xmlns:c16="http://schemas.microsoft.com/office/drawing/2014/chart" uri="{C3380CC4-5D6E-409C-BE32-E72D297353CC}">
              <c16:uniqueId val="{00000002-87B7-4CCA-880D-5831DB0BF32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Zaaidatum_groen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6512-4E6D-8569-60D049313096}"/>
              </c:ext>
            </c:extLst>
          </c:dPt>
          <c:val>
            <c:numRef>
              <c:f>Graskompas!$AE$79</c:f>
              <c:numCache>
                <c:formatCode>General</c:formatCode>
                <c:ptCount val="1"/>
                <c:pt idx="0">
                  <c:v>0</c:v>
                </c:pt>
              </c:numCache>
            </c:numRef>
          </c:val>
          <c:extLst>
            <c:ext xmlns:c16="http://schemas.microsoft.com/office/drawing/2014/chart" uri="{C3380CC4-5D6E-409C-BE32-E72D297353CC}">
              <c16:uniqueId val="{00000002-6512-4E6D-8569-60D04931309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Zaaidatum_oranje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C408-47D0-A4B7-CD0BCA7159D0}"/>
              </c:ext>
            </c:extLst>
          </c:dPt>
          <c:val>
            <c:numRef>
              <c:f>Graskompas!$AF$79</c:f>
              <c:numCache>
                <c:formatCode>General</c:formatCode>
                <c:ptCount val="1"/>
                <c:pt idx="0">
                  <c:v>0</c:v>
                </c:pt>
              </c:numCache>
            </c:numRef>
          </c:val>
          <c:extLst>
            <c:ext xmlns:c16="http://schemas.microsoft.com/office/drawing/2014/chart" uri="{C3380CC4-5D6E-409C-BE32-E72D297353CC}">
              <c16:uniqueId val="{00000002-C408-47D0-A4B7-CD0BCA7159D0}"/>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Zaaidiepte_oranje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D71C-49A5-A5C8-2432B19D54CF}"/>
              </c:ext>
            </c:extLst>
          </c:dPt>
          <c:val>
            <c:numRef>
              <c:f>Graskompas!$AF$82</c:f>
              <c:numCache>
                <c:formatCode>General</c:formatCode>
                <c:ptCount val="1"/>
                <c:pt idx="0">
                  <c:v>0</c:v>
                </c:pt>
              </c:numCache>
            </c:numRef>
          </c:val>
          <c:extLst>
            <c:ext xmlns:c16="http://schemas.microsoft.com/office/drawing/2014/chart" uri="{C3380CC4-5D6E-409C-BE32-E72D297353CC}">
              <c16:uniqueId val="{00000002-D71C-49A5-A5C8-2432B19D54C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Zaaidiepte_groen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B132-4149-9AA3-20CD5D09631F}"/>
              </c:ext>
            </c:extLst>
          </c:dPt>
          <c:val>
            <c:numRef>
              <c:f>Graskompas!$AE$82</c:f>
              <c:numCache>
                <c:formatCode>General</c:formatCode>
                <c:ptCount val="1"/>
                <c:pt idx="0">
                  <c:v>0</c:v>
                </c:pt>
              </c:numCache>
            </c:numRef>
          </c:val>
          <c:extLst>
            <c:ext xmlns:c16="http://schemas.microsoft.com/office/drawing/2014/chart" uri="{C3380CC4-5D6E-409C-BE32-E72D297353CC}">
              <c16:uniqueId val="{00000002-B132-4149-9AA3-20CD5D09631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Zaaidiepte_rood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A0B-4CAC-B435-C749253D9FB6}"/>
              </c:ext>
            </c:extLst>
          </c:dPt>
          <c:val>
            <c:numRef>
              <c:f>Graskompas!$AG$82</c:f>
              <c:numCache>
                <c:formatCode>General</c:formatCode>
                <c:ptCount val="1"/>
                <c:pt idx="0">
                  <c:v>1</c:v>
                </c:pt>
              </c:numCache>
            </c:numRef>
          </c:val>
          <c:extLst>
            <c:ext xmlns:c16="http://schemas.microsoft.com/office/drawing/2014/chart" uri="{C3380CC4-5D6E-409C-BE32-E72D297353CC}">
              <c16:uniqueId val="{00000002-3A0B-4CAC-B435-C749253D9FB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Zaaizaad_Witte_Klaver</c:v>
          </c:tx>
          <c:spPr>
            <a:blipFill>
              <a:blip xmlns:r="http://schemas.openxmlformats.org/officeDocument/2006/relationships" r:embed="rId3"/>
              <a:stretch>
                <a:fillRect/>
              </a:stretch>
            </a:blipFill>
            <a:ln>
              <a:noFill/>
            </a:ln>
            <a:effectLst/>
          </c:spPr>
          <c:invertIfNegative val="0"/>
          <c:val>
            <c:numRef>
              <c:f>Graskompas!$AC$86</c:f>
              <c:numCache>
                <c:formatCode>General</c:formatCode>
                <c:ptCount val="1"/>
                <c:pt idx="0">
                  <c:v>0</c:v>
                </c:pt>
              </c:numCache>
            </c:numRef>
          </c:val>
          <c:extLst>
            <c:ext xmlns:c16="http://schemas.microsoft.com/office/drawing/2014/chart" uri="{C3380CC4-5D6E-409C-BE32-E72D297353CC}">
              <c16:uniqueId val="{00000006-E470-488E-BB07-3A97591B3761}"/>
            </c:ext>
          </c:extLst>
        </c:ser>
        <c:dLbls>
          <c:showLegendKey val="0"/>
          <c:showVal val="0"/>
          <c:showCatName val="0"/>
          <c:showSerName val="0"/>
          <c:showPercent val="0"/>
          <c:showBubbleSize val="0"/>
        </c:dLbls>
        <c:gapWidth val="0"/>
        <c:overlap val="-27"/>
        <c:axId val="1371687679"/>
        <c:axId val="1371690079"/>
      </c:barChart>
      <c:catAx>
        <c:axId val="1371687679"/>
        <c:scaling>
          <c:orientation val="minMax"/>
        </c:scaling>
        <c:delete val="1"/>
        <c:axPos val="b"/>
        <c:numFmt formatCode="General" sourceLinked="1"/>
        <c:majorTickMark val="none"/>
        <c:minorTickMark val="none"/>
        <c:tickLblPos val="nextTo"/>
        <c:crossAx val="1371690079"/>
        <c:crosses val="autoZero"/>
        <c:auto val="1"/>
        <c:lblAlgn val="ctr"/>
        <c:lblOffset val="100"/>
        <c:noMultiLvlLbl val="0"/>
      </c:catAx>
      <c:valAx>
        <c:axId val="1371690079"/>
        <c:scaling>
          <c:orientation val="minMax"/>
          <c:max val="0.5"/>
          <c:min val="0"/>
        </c:scaling>
        <c:delete val="1"/>
        <c:axPos val="l"/>
        <c:numFmt formatCode="General" sourceLinked="1"/>
        <c:majorTickMark val="none"/>
        <c:minorTickMark val="none"/>
        <c:tickLblPos val="nextTo"/>
        <c:crossAx val="1371687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Zaaizaad_Rode_Klaver</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D26-4773-B149-142B51510A1A}"/>
              </c:ext>
            </c:extLst>
          </c:dPt>
          <c:val>
            <c:numRef>
              <c:f>Graskompas!$AC$87</c:f>
              <c:numCache>
                <c:formatCode>General</c:formatCode>
                <c:ptCount val="1"/>
                <c:pt idx="0">
                  <c:v>0</c:v>
                </c:pt>
              </c:numCache>
            </c:numRef>
          </c:val>
          <c:extLst>
            <c:ext xmlns:c16="http://schemas.microsoft.com/office/drawing/2014/chart" uri="{C3380CC4-5D6E-409C-BE32-E72D297353CC}">
              <c16:uniqueId val="{00000000-4D26-4773-B149-142B51510A1A}"/>
            </c:ext>
          </c:extLst>
        </c:ser>
        <c:dLbls>
          <c:showLegendKey val="0"/>
          <c:showVal val="0"/>
          <c:showCatName val="0"/>
          <c:showSerName val="0"/>
          <c:showPercent val="0"/>
          <c:showBubbleSize val="0"/>
        </c:dLbls>
        <c:gapWidth val="0"/>
        <c:overlap val="-27"/>
        <c:axId val="1371687679"/>
        <c:axId val="1371690079"/>
      </c:barChart>
      <c:catAx>
        <c:axId val="1371687679"/>
        <c:scaling>
          <c:orientation val="minMax"/>
        </c:scaling>
        <c:delete val="1"/>
        <c:axPos val="b"/>
        <c:numFmt formatCode="General" sourceLinked="1"/>
        <c:majorTickMark val="none"/>
        <c:minorTickMark val="none"/>
        <c:tickLblPos val="nextTo"/>
        <c:crossAx val="1371690079"/>
        <c:crosses val="autoZero"/>
        <c:auto val="1"/>
        <c:lblAlgn val="ctr"/>
        <c:lblOffset val="100"/>
        <c:noMultiLvlLbl val="0"/>
      </c:catAx>
      <c:valAx>
        <c:axId val="1371690079"/>
        <c:scaling>
          <c:orientation val="minMax"/>
          <c:max val="0.5"/>
          <c:min val="0"/>
        </c:scaling>
        <c:delete val="1"/>
        <c:axPos val="l"/>
        <c:numFmt formatCode="General" sourceLinked="1"/>
        <c:majorTickMark val="none"/>
        <c:minorTickMark val="none"/>
        <c:tickLblPos val="nextTo"/>
        <c:crossAx val="1371687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Zaaizaad_Kruiden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AE8-42D4-943C-DDEDC35E9616}"/>
              </c:ext>
            </c:extLst>
          </c:dPt>
          <c:val>
            <c:numRef>
              <c:f>Graskompas!$AC$89</c:f>
              <c:numCache>
                <c:formatCode>General</c:formatCode>
                <c:ptCount val="1"/>
                <c:pt idx="0">
                  <c:v>0</c:v>
                </c:pt>
              </c:numCache>
            </c:numRef>
          </c:val>
          <c:extLst>
            <c:ext xmlns:c16="http://schemas.microsoft.com/office/drawing/2014/chart" uri="{C3380CC4-5D6E-409C-BE32-E72D297353CC}">
              <c16:uniqueId val="{00000002-4AE8-42D4-943C-DDEDC35E9616}"/>
            </c:ext>
          </c:extLst>
        </c:ser>
        <c:dLbls>
          <c:showLegendKey val="0"/>
          <c:showVal val="0"/>
          <c:showCatName val="0"/>
          <c:showSerName val="0"/>
          <c:showPercent val="0"/>
          <c:showBubbleSize val="0"/>
        </c:dLbls>
        <c:gapWidth val="0"/>
        <c:overlap val="-27"/>
        <c:axId val="1371687679"/>
        <c:axId val="1371690079"/>
      </c:barChart>
      <c:catAx>
        <c:axId val="1371687679"/>
        <c:scaling>
          <c:orientation val="minMax"/>
        </c:scaling>
        <c:delete val="1"/>
        <c:axPos val="b"/>
        <c:numFmt formatCode="General" sourceLinked="1"/>
        <c:majorTickMark val="none"/>
        <c:minorTickMark val="none"/>
        <c:tickLblPos val="nextTo"/>
        <c:crossAx val="1371690079"/>
        <c:crosses val="autoZero"/>
        <c:auto val="1"/>
        <c:lblAlgn val="ctr"/>
        <c:lblOffset val="100"/>
        <c:noMultiLvlLbl val="0"/>
      </c:catAx>
      <c:valAx>
        <c:axId val="1371690079"/>
        <c:scaling>
          <c:orientation val="minMax"/>
          <c:max val="0.5"/>
          <c:min val="0"/>
        </c:scaling>
        <c:delete val="1"/>
        <c:axPos val="l"/>
        <c:numFmt formatCode="General" sourceLinked="1"/>
        <c:majorTickMark val="none"/>
        <c:minorTickMark val="none"/>
        <c:tickLblPos val="nextTo"/>
        <c:crossAx val="1371687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Zaaizaad_Luzerne</c:v>
          </c:tx>
          <c:spPr>
            <a:blipFill>
              <a:blip xmlns:r="http://schemas.openxmlformats.org/officeDocument/2006/relationships" r:embed="rId3"/>
              <a:stretch>
                <a:fillRect/>
              </a:stretch>
            </a:blipFill>
            <a:ln>
              <a:noFill/>
            </a:ln>
            <a:effectLst/>
          </c:spPr>
          <c:invertIfNegative val="0"/>
          <c:val>
            <c:numRef>
              <c:f>Graskompas!$AC$88</c:f>
              <c:numCache>
                <c:formatCode>General</c:formatCode>
                <c:ptCount val="1"/>
                <c:pt idx="0">
                  <c:v>0</c:v>
                </c:pt>
              </c:numCache>
            </c:numRef>
          </c:val>
          <c:extLst>
            <c:ext xmlns:c16="http://schemas.microsoft.com/office/drawing/2014/chart" uri="{C3380CC4-5D6E-409C-BE32-E72D297353CC}">
              <c16:uniqueId val="{00000002-28E5-46C8-B673-B95DE71C1847}"/>
            </c:ext>
          </c:extLst>
        </c:ser>
        <c:dLbls>
          <c:showLegendKey val="0"/>
          <c:showVal val="0"/>
          <c:showCatName val="0"/>
          <c:showSerName val="0"/>
          <c:showPercent val="0"/>
          <c:showBubbleSize val="0"/>
        </c:dLbls>
        <c:gapWidth val="0"/>
        <c:overlap val="-27"/>
        <c:axId val="1371687679"/>
        <c:axId val="1371690079"/>
      </c:barChart>
      <c:catAx>
        <c:axId val="1371687679"/>
        <c:scaling>
          <c:orientation val="minMax"/>
        </c:scaling>
        <c:delete val="1"/>
        <c:axPos val="b"/>
        <c:numFmt formatCode="General" sourceLinked="1"/>
        <c:majorTickMark val="out"/>
        <c:minorTickMark val="none"/>
        <c:tickLblPos val="nextTo"/>
        <c:crossAx val="1371690079"/>
        <c:crosses val="autoZero"/>
        <c:auto val="1"/>
        <c:lblAlgn val="ctr"/>
        <c:lblOffset val="100"/>
        <c:noMultiLvlLbl val="0"/>
      </c:catAx>
      <c:valAx>
        <c:axId val="1371690079"/>
        <c:scaling>
          <c:orientation val="minMax"/>
          <c:max val="0.25"/>
          <c:min val="0"/>
        </c:scaling>
        <c:delete val="1"/>
        <c:axPos val="l"/>
        <c:numFmt formatCode="General" sourceLinked="1"/>
        <c:majorTickMark val="out"/>
        <c:minorTickMark val="none"/>
        <c:tickLblPos val="nextTo"/>
        <c:crossAx val="13716876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Zaaizaad_oranje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EAB-4F21-8AC6-4DEE8F2F6E44}"/>
              </c:ext>
            </c:extLst>
          </c:dPt>
          <c:val>
            <c:numRef>
              <c:f>Graskompas!$AF$85</c:f>
              <c:numCache>
                <c:formatCode>General</c:formatCode>
                <c:ptCount val="1"/>
                <c:pt idx="0">
                  <c:v>0</c:v>
                </c:pt>
              </c:numCache>
            </c:numRef>
          </c:val>
          <c:extLst>
            <c:ext xmlns:c16="http://schemas.microsoft.com/office/drawing/2014/chart" uri="{C3380CC4-5D6E-409C-BE32-E72D297353CC}">
              <c16:uniqueId val="{00000002-AEAB-4F21-8AC6-4DEE8F2F6E44}"/>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Zaaizaad_rood</c:v>
          </c:tx>
          <c:spPr>
            <a:blipFill>
              <a:blip xmlns:r="http://schemas.openxmlformats.org/officeDocument/2006/relationships" r:embed="rId3"/>
              <a:stretch>
                <a:fillRect/>
              </a:stretch>
            </a:blipFill>
            <a:ln>
              <a:noFill/>
            </a:ln>
            <a:effectLst/>
          </c:spPr>
          <c:invertIfNegative val="0"/>
          <c:val>
            <c:numRef>
              <c:f>Graskompas!$AG$85</c:f>
              <c:numCache>
                <c:formatCode>General</c:formatCode>
                <c:ptCount val="1"/>
                <c:pt idx="0">
                  <c:v>1</c:v>
                </c:pt>
              </c:numCache>
            </c:numRef>
          </c:val>
          <c:extLst>
            <c:ext xmlns:c16="http://schemas.microsoft.com/office/drawing/2014/chart" uri="{C3380CC4-5D6E-409C-BE32-E72D297353CC}">
              <c16:uniqueId val="{00000002-B23D-4FB9-B9C6-5B895094A004}"/>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Zaaizaad_groen</c:v>
          </c:tx>
          <c:spPr>
            <a:blipFill>
              <a:blip xmlns:r="http://schemas.openxmlformats.org/officeDocument/2006/relationships" r:embed="rId3"/>
              <a:stretch>
                <a:fillRect/>
              </a:stretch>
            </a:blipFill>
            <a:ln>
              <a:noFill/>
            </a:ln>
            <a:effectLst/>
          </c:spPr>
          <c:invertIfNegative val="0"/>
          <c:val>
            <c:numRef>
              <c:f>Graskompas!$AE$85</c:f>
              <c:numCache>
                <c:formatCode>General</c:formatCode>
                <c:ptCount val="1"/>
                <c:pt idx="0">
                  <c:v>0</c:v>
                </c:pt>
              </c:numCache>
            </c:numRef>
          </c:val>
          <c:extLst>
            <c:ext xmlns:c16="http://schemas.microsoft.com/office/drawing/2014/chart" uri="{C3380CC4-5D6E-409C-BE32-E72D297353CC}">
              <c16:uniqueId val="{00000002-02EE-4B24-B0F2-C48828A7D15B}"/>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Bodemstaal_groen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6585-44E0-AF46-821F8B9BDC4A}"/>
              </c:ext>
            </c:extLst>
          </c:dPt>
          <c:val>
            <c:numRef>
              <c:f>Graskompas!$AE$98</c:f>
              <c:numCache>
                <c:formatCode>General</c:formatCode>
                <c:ptCount val="1"/>
                <c:pt idx="0">
                  <c:v>0</c:v>
                </c:pt>
              </c:numCache>
            </c:numRef>
          </c:val>
          <c:extLst>
            <c:ext xmlns:c16="http://schemas.microsoft.com/office/drawing/2014/chart" uri="{C3380CC4-5D6E-409C-BE32-E72D297353CC}">
              <c16:uniqueId val="{00000002-6585-44E0-AF46-821F8B9BDC4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Bodemstaal_rood</c:v>
          </c:tx>
          <c:spPr>
            <a:blipFill>
              <a:blip xmlns:r="http://schemas.openxmlformats.org/officeDocument/2006/relationships" r:embed="rId3"/>
              <a:stretch>
                <a:fillRect/>
              </a:stretch>
            </a:blipFill>
            <a:ln>
              <a:noFill/>
            </a:ln>
            <a:effectLst/>
          </c:spPr>
          <c:invertIfNegative val="0"/>
          <c:val>
            <c:numRef>
              <c:f>Graskompas!$AG$98</c:f>
              <c:numCache>
                <c:formatCode>General</c:formatCode>
                <c:ptCount val="1"/>
                <c:pt idx="0">
                  <c:v>1</c:v>
                </c:pt>
              </c:numCache>
            </c:numRef>
          </c:val>
          <c:extLst>
            <c:ext xmlns:c16="http://schemas.microsoft.com/office/drawing/2014/chart" uri="{C3380CC4-5D6E-409C-BE32-E72D297353CC}">
              <c16:uniqueId val="{00000002-D857-455F-AD23-8F9EB9E85A0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Meststaal_rood</c:v>
          </c:tx>
          <c:spPr>
            <a:blipFill>
              <a:blip xmlns:r="http://schemas.openxmlformats.org/officeDocument/2006/relationships" r:embed="rId3"/>
              <a:stretch>
                <a:fillRect/>
              </a:stretch>
            </a:blipFill>
            <a:ln>
              <a:noFill/>
            </a:ln>
            <a:effectLst/>
          </c:spPr>
          <c:invertIfNegative val="0"/>
          <c:val>
            <c:numRef>
              <c:f>Graskompas!$AG$99</c:f>
              <c:numCache>
                <c:formatCode>General</c:formatCode>
                <c:ptCount val="1"/>
                <c:pt idx="0">
                  <c:v>1</c:v>
                </c:pt>
              </c:numCache>
            </c:numRef>
          </c:val>
          <c:extLst>
            <c:ext xmlns:c16="http://schemas.microsoft.com/office/drawing/2014/chart" uri="{C3380CC4-5D6E-409C-BE32-E72D297353CC}">
              <c16:uniqueId val="{00000000-D74A-480B-B27B-FB00CF4235A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Meststaal_groen</c:v>
          </c:tx>
          <c:spPr>
            <a:blipFill>
              <a:blip xmlns:r="http://schemas.openxmlformats.org/officeDocument/2006/relationships" r:embed="rId3"/>
              <a:stretch>
                <a:fillRect/>
              </a:stretch>
            </a:blipFill>
            <a:ln>
              <a:noFill/>
            </a:ln>
            <a:effectLst/>
          </c:spPr>
          <c:invertIfNegative val="0"/>
          <c:val>
            <c:numRef>
              <c:f>Graskompas!$AE$99</c:f>
              <c:numCache>
                <c:formatCode>General</c:formatCode>
                <c:ptCount val="1"/>
                <c:pt idx="0">
                  <c:v>0</c:v>
                </c:pt>
              </c:numCache>
            </c:numRef>
          </c:val>
          <c:extLst>
            <c:ext xmlns:c16="http://schemas.microsoft.com/office/drawing/2014/chart" uri="{C3380CC4-5D6E-409C-BE32-E72D297353CC}">
              <c16:uniqueId val="{00000000-3499-4FCE-9A90-4DC78A2320A1}"/>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196-4999-92BF-4B908D7A4BEC}"/>
              </c:ext>
            </c:extLst>
          </c:dPt>
          <c:val>
            <c:numRef>
              <c:f>Graskompas!$AE$100</c:f>
              <c:numCache>
                <c:formatCode>General</c:formatCode>
                <c:ptCount val="1"/>
                <c:pt idx="0">
                  <c:v>#N/A</c:v>
                </c:pt>
              </c:numCache>
            </c:numRef>
          </c:val>
          <c:extLst>
            <c:ext xmlns:c16="http://schemas.microsoft.com/office/drawing/2014/chart" uri="{C3380CC4-5D6E-409C-BE32-E72D297353CC}">
              <c16:uniqueId val="{00000000-A196-4999-92BF-4B908D7A4BEC}"/>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pH_oranje</c:v>
          </c:tx>
          <c:spPr>
            <a:blipFill>
              <a:blip xmlns:r="http://schemas.openxmlformats.org/officeDocument/2006/relationships" r:embed="rId3"/>
              <a:stretch>
                <a:fillRect/>
              </a:stretch>
            </a:blipFill>
            <a:ln>
              <a:noFill/>
            </a:ln>
            <a:effectLst/>
          </c:spPr>
          <c:invertIfNegative val="0"/>
          <c:val>
            <c:numRef>
              <c:f>Graskompas!$AF$100</c:f>
              <c:numCache>
                <c:formatCode>General</c:formatCode>
                <c:ptCount val="1"/>
                <c:pt idx="0">
                  <c:v>#N/A</c:v>
                </c:pt>
              </c:numCache>
            </c:numRef>
          </c:val>
          <c:extLst>
            <c:ext xmlns:c16="http://schemas.microsoft.com/office/drawing/2014/chart" uri="{C3380CC4-5D6E-409C-BE32-E72D297353CC}">
              <c16:uniqueId val="{00000002-5BE8-4769-B1C8-EF76A024DFAC}"/>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pH_rood</c:v>
          </c:tx>
          <c:spPr>
            <a:blipFill>
              <a:blip xmlns:r="http://schemas.openxmlformats.org/officeDocument/2006/relationships" r:embed="rId3"/>
              <a:stretch>
                <a:fillRect/>
              </a:stretch>
            </a:blipFill>
            <a:ln>
              <a:noFill/>
            </a:ln>
            <a:effectLst/>
          </c:spPr>
          <c:invertIfNegative val="0"/>
          <c:val>
            <c:numRef>
              <c:f>Graskompas!$AG$100</c:f>
              <c:numCache>
                <c:formatCode>General</c:formatCode>
                <c:ptCount val="1"/>
                <c:pt idx="0">
                  <c:v>#N/A</c:v>
                </c:pt>
              </c:numCache>
            </c:numRef>
          </c:val>
          <c:extLst>
            <c:ext xmlns:c16="http://schemas.microsoft.com/office/drawing/2014/chart" uri="{C3380CC4-5D6E-409C-BE32-E72D297353CC}">
              <c16:uniqueId val="{00000002-8D9C-4AB5-9289-A16AD22C6EC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N</c:v>
          </c:tx>
          <c:spPr>
            <a:blipFill>
              <a:blip xmlns:r="http://schemas.openxmlformats.org/officeDocument/2006/relationships" r:embed="rId3"/>
              <a:stretch>
                <a:fillRect/>
              </a:stretch>
            </a:blipFill>
            <a:ln>
              <a:noFill/>
            </a:ln>
            <a:effectLst/>
          </c:spPr>
          <c:invertIfNegative val="0"/>
          <c:val>
            <c:numRef>
              <c:f>Graskompas!$AC$105</c:f>
              <c:numCache>
                <c:formatCode>General</c:formatCode>
                <c:ptCount val="1"/>
                <c:pt idx="0">
                  <c:v>0</c:v>
                </c:pt>
              </c:numCache>
            </c:numRef>
          </c:val>
          <c:extLst>
            <c:ext xmlns:c16="http://schemas.microsoft.com/office/drawing/2014/chart" uri="{C3380CC4-5D6E-409C-BE32-E72D297353CC}">
              <c16:uniqueId val="{00000008-AFE0-4B81-B6B1-577D800DDCEB}"/>
            </c:ext>
          </c:extLst>
        </c:ser>
        <c:dLbls>
          <c:showLegendKey val="0"/>
          <c:showVal val="0"/>
          <c:showCatName val="0"/>
          <c:showSerName val="0"/>
          <c:showPercent val="0"/>
          <c:showBubbleSize val="0"/>
        </c:dLbls>
        <c:gapWidth val="0"/>
        <c:overlap val="-27"/>
        <c:axId val="1017658639"/>
        <c:axId val="1017659119"/>
      </c:barChart>
      <c:catAx>
        <c:axId val="1017658639"/>
        <c:scaling>
          <c:orientation val="minMax"/>
        </c:scaling>
        <c:delete val="1"/>
        <c:axPos val="b"/>
        <c:numFmt formatCode="General" sourceLinked="1"/>
        <c:majorTickMark val="none"/>
        <c:minorTickMark val="none"/>
        <c:tickLblPos val="nextTo"/>
        <c:crossAx val="1017659119"/>
        <c:crosses val="autoZero"/>
        <c:auto val="1"/>
        <c:lblAlgn val="ctr"/>
        <c:lblOffset val="100"/>
        <c:noMultiLvlLbl val="0"/>
      </c:catAx>
      <c:valAx>
        <c:axId val="1017659119"/>
        <c:scaling>
          <c:orientation val="minMax"/>
          <c:max val="1"/>
          <c:min val="0"/>
        </c:scaling>
        <c:delete val="1"/>
        <c:axPos val="l"/>
        <c:numFmt formatCode="General" sourceLinked="1"/>
        <c:majorTickMark val="none"/>
        <c:minorTickMark val="none"/>
        <c:tickLblPos val="nextTo"/>
        <c:crossAx val="101765863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9-4E77-451A-896B-DD0E0F2A3E9A}"/>
              </c:ext>
            </c:extLst>
          </c:dPt>
          <c:val>
            <c:numRef>
              <c:f>Graskompas!$AD$105</c:f>
              <c:numCache>
                <c:formatCode>General</c:formatCode>
                <c:ptCount val="1"/>
                <c:pt idx="0">
                  <c:v>0</c:v>
                </c:pt>
              </c:numCache>
            </c:numRef>
          </c:val>
          <c:extLst>
            <c:ext xmlns:c16="http://schemas.microsoft.com/office/drawing/2014/chart" uri="{C3380CC4-5D6E-409C-BE32-E72D297353CC}">
              <c16:uniqueId val="{00000008-4E77-451A-896B-DD0E0F2A3E9A}"/>
            </c:ext>
          </c:extLst>
        </c:ser>
        <c:dLbls>
          <c:showLegendKey val="0"/>
          <c:showVal val="0"/>
          <c:showCatName val="0"/>
          <c:showSerName val="0"/>
          <c:showPercent val="0"/>
          <c:showBubbleSize val="0"/>
        </c:dLbls>
        <c:gapWidth val="0"/>
        <c:overlap val="-27"/>
        <c:axId val="2104193535"/>
        <c:axId val="2104198815"/>
      </c:barChart>
      <c:catAx>
        <c:axId val="2104193535"/>
        <c:scaling>
          <c:orientation val="minMax"/>
        </c:scaling>
        <c:delete val="1"/>
        <c:axPos val="b"/>
        <c:numFmt formatCode="General" sourceLinked="1"/>
        <c:majorTickMark val="none"/>
        <c:minorTickMark val="none"/>
        <c:tickLblPos val="nextTo"/>
        <c:crossAx val="2104198815"/>
        <c:crosses val="autoZero"/>
        <c:auto val="1"/>
        <c:lblAlgn val="ctr"/>
        <c:lblOffset val="100"/>
        <c:noMultiLvlLbl val="0"/>
      </c:catAx>
      <c:valAx>
        <c:axId val="2104198815"/>
        <c:scaling>
          <c:orientation val="minMax"/>
          <c:max val="1"/>
          <c:min val="0"/>
        </c:scaling>
        <c:delete val="1"/>
        <c:axPos val="l"/>
        <c:numFmt formatCode="General" sourceLinked="1"/>
        <c:majorTickMark val="none"/>
        <c:minorTickMark val="none"/>
        <c:tickLblPos val="nextTo"/>
        <c:crossAx val="210419353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K</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9-9724-409C-9F9D-D7A7133C5207}"/>
              </c:ext>
            </c:extLst>
          </c:dPt>
          <c:val>
            <c:numRef>
              <c:f>Graskompas!$AE$105</c:f>
              <c:numCache>
                <c:formatCode>General</c:formatCode>
                <c:ptCount val="1"/>
                <c:pt idx="0">
                  <c:v>0</c:v>
                </c:pt>
              </c:numCache>
            </c:numRef>
          </c:val>
          <c:extLst>
            <c:ext xmlns:c16="http://schemas.microsoft.com/office/drawing/2014/chart" uri="{C3380CC4-5D6E-409C-BE32-E72D297353CC}">
              <c16:uniqueId val="{00000008-9724-409C-9F9D-D7A7133C5207}"/>
            </c:ext>
          </c:extLst>
        </c:ser>
        <c:dLbls>
          <c:showLegendKey val="0"/>
          <c:showVal val="0"/>
          <c:showCatName val="0"/>
          <c:showSerName val="0"/>
          <c:showPercent val="0"/>
          <c:showBubbleSize val="0"/>
        </c:dLbls>
        <c:gapWidth val="0"/>
        <c:overlap val="-27"/>
        <c:axId val="1060352815"/>
        <c:axId val="1940188351"/>
      </c:barChart>
      <c:catAx>
        <c:axId val="1060352815"/>
        <c:scaling>
          <c:orientation val="minMax"/>
        </c:scaling>
        <c:delete val="1"/>
        <c:axPos val="b"/>
        <c:numFmt formatCode="General" sourceLinked="1"/>
        <c:majorTickMark val="none"/>
        <c:minorTickMark val="none"/>
        <c:tickLblPos val="nextTo"/>
        <c:crossAx val="1940188351"/>
        <c:crosses val="autoZero"/>
        <c:auto val="1"/>
        <c:lblAlgn val="ctr"/>
        <c:lblOffset val="100"/>
        <c:noMultiLvlLbl val="0"/>
      </c:catAx>
      <c:valAx>
        <c:axId val="1940188351"/>
        <c:scaling>
          <c:orientation val="minMax"/>
          <c:max val="1"/>
          <c:min val="0"/>
        </c:scaling>
        <c:delete val="1"/>
        <c:axPos val="l"/>
        <c:numFmt formatCode="General" sourceLinked="1"/>
        <c:majorTickMark val="none"/>
        <c:minorTickMark val="none"/>
        <c:tickLblPos val="nextTo"/>
        <c:crossAx val="106035281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9-7BA1-493C-BA4D-19BCF6AF7B17}"/>
              </c:ext>
            </c:extLst>
          </c:dPt>
          <c:val>
            <c:numRef>
              <c:f>Graskompas!$AF$105</c:f>
              <c:numCache>
                <c:formatCode>General</c:formatCode>
                <c:ptCount val="1"/>
                <c:pt idx="0">
                  <c:v>0</c:v>
                </c:pt>
              </c:numCache>
            </c:numRef>
          </c:val>
          <c:extLst>
            <c:ext xmlns:c16="http://schemas.microsoft.com/office/drawing/2014/chart" uri="{C3380CC4-5D6E-409C-BE32-E72D297353CC}">
              <c16:uniqueId val="{00000008-7BA1-493C-BA4D-19BCF6AF7B17}"/>
            </c:ext>
          </c:extLst>
        </c:ser>
        <c:dLbls>
          <c:showLegendKey val="0"/>
          <c:showVal val="0"/>
          <c:showCatName val="0"/>
          <c:showSerName val="0"/>
          <c:showPercent val="0"/>
          <c:showBubbleSize val="0"/>
        </c:dLbls>
        <c:gapWidth val="0"/>
        <c:overlap val="-27"/>
        <c:axId val="2101361119"/>
        <c:axId val="2101351519"/>
      </c:barChart>
      <c:catAx>
        <c:axId val="2101361119"/>
        <c:scaling>
          <c:orientation val="minMax"/>
        </c:scaling>
        <c:delete val="1"/>
        <c:axPos val="b"/>
        <c:numFmt formatCode="General" sourceLinked="1"/>
        <c:majorTickMark val="none"/>
        <c:minorTickMark val="none"/>
        <c:tickLblPos val="nextTo"/>
        <c:crossAx val="2101351519"/>
        <c:crosses val="autoZero"/>
        <c:auto val="1"/>
        <c:lblAlgn val="ctr"/>
        <c:lblOffset val="100"/>
        <c:noMultiLvlLbl val="0"/>
      </c:catAx>
      <c:valAx>
        <c:axId val="2101351519"/>
        <c:scaling>
          <c:orientation val="minMax"/>
          <c:max val="1"/>
          <c:min val="0"/>
        </c:scaling>
        <c:delete val="1"/>
        <c:axPos val="l"/>
        <c:numFmt formatCode="General" sourceLinked="1"/>
        <c:majorTickMark val="none"/>
        <c:minorTickMark val="none"/>
        <c:tickLblPos val="nextTo"/>
        <c:crossAx val="210136111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Mg</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9-5E16-434E-9B21-CE48002B728D}"/>
              </c:ext>
            </c:extLst>
          </c:dPt>
          <c:val>
            <c:numRef>
              <c:f>Graskompas!$AG$105</c:f>
              <c:numCache>
                <c:formatCode>General</c:formatCode>
                <c:ptCount val="1"/>
                <c:pt idx="0">
                  <c:v>0</c:v>
                </c:pt>
              </c:numCache>
            </c:numRef>
          </c:val>
          <c:extLst>
            <c:ext xmlns:c16="http://schemas.microsoft.com/office/drawing/2014/chart" uri="{C3380CC4-5D6E-409C-BE32-E72D297353CC}">
              <c16:uniqueId val="{00000008-5E16-434E-9B21-CE48002B728D}"/>
            </c:ext>
          </c:extLst>
        </c:ser>
        <c:dLbls>
          <c:showLegendKey val="0"/>
          <c:showVal val="0"/>
          <c:showCatName val="0"/>
          <c:showSerName val="0"/>
          <c:showPercent val="0"/>
          <c:showBubbleSize val="0"/>
        </c:dLbls>
        <c:gapWidth val="0"/>
        <c:overlap val="-27"/>
        <c:axId val="87571952"/>
        <c:axId val="87573392"/>
      </c:barChart>
      <c:catAx>
        <c:axId val="87571952"/>
        <c:scaling>
          <c:orientation val="minMax"/>
        </c:scaling>
        <c:delete val="1"/>
        <c:axPos val="b"/>
        <c:numFmt formatCode="General" sourceLinked="1"/>
        <c:majorTickMark val="none"/>
        <c:minorTickMark val="none"/>
        <c:tickLblPos val="nextTo"/>
        <c:crossAx val="87573392"/>
        <c:crosses val="autoZero"/>
        <c:auto val="1"/>
        <c:lblAlgn val="ctr"/>
        <c:lblOffset val="100"/>
        <c:noMultiLvlLbl val="0"/>
      </c:catAx>
      <c:valAx>
        <c:axId val="87573392"/>
        <c:scaling>
          <c:orientation val="minMax"/>
          <c:max val="1"/>
          <c:min val="0"/>
        </c:scaling>
        <c:delete val="1"/>
        <c:axPos val="l"/>
        <c:numFmt formatCode="General" sourceLinked="1"/>
        <c:majorTickMark val="none"/>
        <c:minorTickMark val="none"/>
        <c:tickLblPos val="nextTo"/>
        <c:crossAx val="875719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Ca</c:v>
          </c:tx>
          <c:spPr>
            <a:blipFill>
              <a:blip xmlns:r="http://schemas.openxmlformats.org/officeDocument/2006/relationships" r:embed="rId3"/>
              <a:stretch>
                <a:fillRect/>
              </a:stretch>
            </a:blipFill>
            <a:ln>
              <a:noFill/>
            </a:ln>
            <a:effectLst/>
          </c:spPr>
          <c:invertIfNegative val="0"/>
          <c:val>
            <c:numRef>
              <c:f>Graskompas!$AH$105</c:f>
              <c:numCache>
                <c:formatCode>General</c:formatCode>
                <c:ptCount val="1"/>
                <c:pt idx="0">
                  <c:v>0</c:v>
                </c:pt>
              </c:numCache>
            </c:numRef>
          </c:val>
          <c:extLst>
            <c:ext xmlns:c16="http://schemas.microsoft.com/office/drawing/2014/chart" uri="{C3380CC4-5D6E-409C-BE32-E72D297353CC}">
              <c16:uniqueId val="{00000008-0F21-491E-BCE2-7677BF3197DA}"/>
            </c:ext>
          </c:extLst>
        </c:ser>
        <c:dLbls>
          <c:showLegendKey val="0"/>
          <c:showVal val="0"/>
          <c:showCatName val="0"/>
          <c:showSerName val="0"/>
          <c:showPercent val="0"/>
          <c:showBubbleSize val="0"/>
        </c:dLbls>
        <c:gapWidth val="0"/>
        <c:overlap val="-27"/>
        <c:axId val="1383364447"/>
        <c:axId val="1383364927"/>
      </c:barChart>
      <c:catAx>
        <c:axId val="1383364447"/>
        <c:scaling>
          <c:orientation val="minMax"/>
        </c:scaling>
        <c:delete val="1"/>
        <c:axPos val="b"/>
        <c:numFmt formatCode="General" sourceLinked="1"/>
        <c:majorTickMark val="none"/>
        <c:minorTickMark val="none"/>
        <c:tickLblPos val="nextTo"/>
        <c:crossAx val="1383364927"/>
        <c:crosses val="autoZero"/>
        <c:auto val="1"/>
        <c:lblAlgn val="ctr"/>
        <c:lblOffset val="100"/>
        <c:noMultiLvlLbl val="0"/>
      </c:catAx>
      <c:valAx>
        <c:axId val="1383364927"/>
        <c:scaling>
          <c:orientation val="minMax"/>
          <c:max val="1"/>
          <c:min val="0"/>
        </c:scaling>
        <c:delete val="1"/>
        <c:axPos val="l"/>
        <c:numFmt formatCode="General" sourceLinked="1"/>
        <c:majorTickMark val="none"/>
        <c:minorTickMark val="none"/>
        <c:tickLblPos val="nextTo"/>
        <c:crossAx val="1383364447"/>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Na</c:v>
          </c:tx>
          <c:spPr>
            <a:blipFill>
              <a:blip xmlns:r="http://schemas.openxmlformats.org/officeDocument/2006/relationships" r:embed="rId3"/>
              <a:stretch>
                <a:fillRect/>
              </a:stretch>
            </a:blipFill>
            <a:ln>
              <a:noFill/>
            </a:ln>
            <a:effectLst/>
          </c:spPr>
          <c:invertIfNegative val="0"/>
          <c:val>
            <c:numRef>
              <c:f>Graskompas!$AI$105</c:f>
              <c:numCache>
                <c:formatCode>General</c:formatCode>
                <c:ptCount val="1"/>
                <c:pt idx="0">
                  <c:v>0</c:v>
                </c:pt>
              </c:numCache>
            </c:numRef>
          </c:val>
          <c:extLst>
            <c:ext xmlns:c16="http://schemas.microsoft.com/office/drawing/2014/chart" uri="{C3380CC4-5D6E-409C-BE32-E72D297353CC}">
              <c16:uniqueId val="{00000008-1159-4131-A6E8-02F65D939A8F}"/>
            </c:ext>
          </c:extLst>
        </c:ser>
        <c:dLbls>
          <c:showLegendKey val="0"/>
          <c:showVal val="0"/>
          <c:showCatName val="0"/>
          <c:showSerName val="0"/>
          <c:showPercent val="0"/>
          <c:showBubbleSize val="0"/>
        </c:dLbls>
        <c:gapWidth val="0"/>
        <c:overlap val="-27"/>
        <c:axId val="2120572751"/>
        <c:axId val="2120570831"/>
      </c:barChart>
      <c:catAx>
        <c:axId val="2120572751"/>
        <c:scaling>
          <c:orientation val="minMax"/>
        </c:scaling>
        <c:delete val="1"/>
        <c:axPos val="b"/>
        <c:numFmt formatCode="General" sourceLinked="1"/>
        <c:majorTickMark val="none"/>
        <c:minorTickMark val="none"/>
        <c:tickLblPos val="nextTo"/>
        <c:crossAx val="2120570831"/>
        <c:crosses val="autoZero"/>
        <c:auto val="1"/>
        <c:lblAlgn val="ctr"/>
        <c:lblOffset val="100"/>
        <c:noMultiLvlLbl val="0"/>
      </c:catAx>
      <c:valAx>
        <c:axId val="2120570831"/>
        <c:scaling>
          <c:orientation val="minMax"/>
          <c:max val="1"/>
          <c:min val="0"/>
        </c:scaling>
        <c:delete val="1"/>
        <c:axPos val="l"/>
        <c:numFmt formatCode="General" sourceLinked="1"/>
        <c:majorTickMark val="none"/>
        <c:minorTickMark val="none"/>
        <c:tickLblPos val="nextTo"/>
        <c:crossAx val="212057275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Maaihoogte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pictureOptions>
              <c:pictureFormat val="stack"/>
            </c:pictureOptions>
            <c:extLst>
              <c:ext xmlns:c16="http://schemas.microsoft.com/office/drawing/2014/chart" uri="{C3380CC4-5D6E-409C-BE32-E72D297353CC}">
                <c16:uniqueId val="{00000002-6B5D-4D78-A8BD-0CAB930AE5FA}"/>
              </c:ext>
            </c:extLst>
          </c:dPt>
          <c:val>
            <c:numRef>
              <c:f>Graskompas!$AC$133</c:f>
              <c:numCache>
                <c:formatCode>General</c:formatCode>
                <c:ptCount val="1"/>
                <c:pt idx="0">
                  <c:v>0</c:v>
                </c:pt>
              </c:numCache>
            </c:numRef>
          </c:val>
          <c:extLst>
            <c:ext xmlns:c16="http://schemas.microsoft.com/office/drawing/2014/chart" uri="{C3380CC4-5D6E-409C-BE32-E72D297353CC}">
              <c16:uniqueId val="{00000001-6B5D-4D78-A8BD-0CAB930AE5FA}"/>
            </c:ext>
          </c:extLst>
        </c:ser>
        <c:ser>
          <c:idx val="1"/>
          <c:order val="1"/>
          <c:tx>
            <c:v>Hoogte voor het maaien</c:v>
          </c:tx>
          <c:spPr>
            <a:blipFill>
              <a:blip xmlns:r="http://schemas.openxmlformats.org/officeDocument/2006/relationships" r:embed="rId3"/>
              <a:stretch>
                <a:fillRect/>
              </a:stretch>
            </a:blipFill>
            <a:ln>
              <a:noFill/>
            </a:ln>
            <a:effectLst/>
          </c:spPr>
          <c:invertIfNegative val="0"/>
          <c:val>
            <c:numRef>
              <c:f>Graskompas!$AC$134</c:f>
              <c:numCache>
                <c:formatCode>General</c:formatCode>
                <c:ptCount val="1"/>
                <c:pt idx="0">
                  <c:v>35</c:v>
                </c:pt>
              </c:numCache>
            </c:numRef>
          </c:val>
          <c:extLst>
            <c:ext xmlns:c16="http://schemas.microsoft.com/office/drawing/2014/chart" uri="{C3380CC4-5D6E-409C-BE32-E72D297353CC}">
              <c16:uniqueId val="{00000003-6B5D-4D78-A8BD-0CAB930AE5FA}"/>
            </c:ext>
          </c:extLst>
        </c:ser>
        <c:dLbls>
          <c:showLegendKey val="0"/>
          <c:showVal val="0"/>
          <c:showCatName val="0"/>
          <c:showSerName val="0"/>
          <c:showPercent val="0"/>
          <c:showBubbleSize val="0"/>
        </c:dLbls>
        <c:gapWidth val="0"/>
        <c:overlap val="38"/>
        <c:axId val="1470593711"/>
        <c:axId val="1470590351"/>
      </c:barChart>
      <c:catAx>
        <c:axId val="1470593711"/>
        <c:scaling>
          <c:orientation val="minMax"/>
        </c:scaling>
        <c:delete val="1"/>
        <c:axPos val="b"/>
        <c:numFmt formatCode="General" sourceLinked="1"/>
        <c:majorTickMark val="none"/>
        <c:minorTickMark val="none"/>
        <c:tickLblPos val="nextTo"/>
        <c:crossAx val="1470590351"/>
        <c:crosses val="autoZero"/>
        <c:auto val="1"/>
        <c:lblAlgn val="ctr"/>
        <c:lblOffset val="100"/>
        <c:noMultiLvlLbl val="0"/>
      </c:catAx>
      <c:valAx>
        <c:axId val="1470590351"/>
        <c:scaling>
          <c:orientation val="minMax"/>
          <c:max val="3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470593711"/>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Maaihoogte_groen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DE3-4F87-82F7-90F801DCCC1E}"/>
              </c:ext>
            </c:extLst>
          </c:dPt>
          <c:val>
            <c:numRef>
              <c:f>Graskompas!$AE$136</c:f>
              <c:numCache>
                <c:formatCode>General</c:formatCode>
                <c:ptCount val="1"/>
                <c:pt idx="0">
                  <c:v>#N/A</c:v>
                </c:pt>
              </c:numCache>
            </c:numRef>
          </c:val>
          <c:extLst>
            <c:ext xmlns:c16="http://schemas.microsoft.com/office/drawing/2014/chart" uri="{C3380CC4-5D6E-409C-BE32-E72D297353CC}">
              <c16:uniqueId val="{00000000-3DE3-4F87-82F7-90F801DCCC1E}"/>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Maaihoogte_oranje</c:v>
          </c:tx>
          <c:spPr>
            <a:blipFill>
              <a:blip xmlns:r="http://schemas.openxmlformats.org/officeDocument/2006/relationships" r:embed="rId3"/>
              <a:stretch>
                <a:fillRect/>
              </a:stretch>
            </a:blipFill>
            <a:ln>
              <a:noFill/>
            </a:ln>
            <a:effectLst/>
          </c:spPr>
          <c:invertIfNegative val="0"/>
          <c:val>
            <c:numRef>
              <c:f>Graskompas!$AF$136</c:f>
              <c:numCache>
                <c:formatCode>General</c:formatCode>
                <c:ptCount val="1"/>
                <c:pt idx="0">
                  <c:v>#N/A</c:v>
                </c:pt>
              </c:numCache>
            </c:numRef>
          </c:val>
          <c:extLst>
            <c:ext xmlns:c16="http://schemas.microsoft.com/office/drawing/2014/chart" uri="{C3380CC4-5D6E-409C-BE32-E72D297353CC}">
              <c16:uniqueId val="{00000002-7189-4B30-979D-91BA31E43BB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Maaihoogte_rood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F444-401B-AF96-1E842676838F}"/>
              </c:ext>
            </c:extLst>
          </c:dPt>
          <c:val>
            <c:numRef>
              <c:f>Graskompas!$AG$136</c:f>
              <c:numCache>
                <c:formatCode>General</c:formatCode>
                <c:ptCount val="1"/>
                <c:pt idx="0">
                  <c:v>#N/A</c:v>
                </c:pt>
              </c:numCache>
            </c:numRef>
          </c:val>
          <c:extLst>
            <c:ext xmlns:c16="http://schemas.microsoft.com/office/drawing/2014/chart" uri="{C3380CC4-5D6E-409C-BE32-E72D297353CC}">
              <c16:uniqueId val="{00000000-F444-401B-AF96-1E842676838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Tijd_Bemesten_maaien_Rood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0FE-4915-B970-F87A6B4A9D04}"/>
              </c:ext>
            </c:extLst>
          </c:dPt>
          <c:val>
            <c:numRef>
              <c:f>Graskompas!$AF$139</c:f>
              <c:numCache>
                <c:formatCode>General</c:formatCode>
                <c:ptCount val="1"/>
                <c:pt idx="0">
                  <c:v>#N/A</c:v>
                </c:pt>
              </c:numCache>
            </c:numRef>
          </c:val>
          <c:extLst>
            <c:ext xmlns:c16="http://schemas.microsoft.com/office/drawing/2014/chart" uri="{C3380CC4-5D6E-409C-BE32-E72D297353CC}">
              <c16:uniqueId val="{00000002-30FE-4915-B970-F87A6B4A9D04}"/>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Aantal_schudden_Rood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2036-4836-907E-1027CC8E5DBA}"/>
              </c:ext>
            </c:extLst>
          </c:dPt>
          <c:val>
            <c:numRef>
              <c:f>Graskompas!$AF$141</c:f>
              <c:numCache>
                <c:formatCode>General</c:formatCode>
                <c:ptCount val="1"/>
                <c:pt idx="0">
                  <c:v>#N/A</c:v>
                </c:pt>
              </c:numCache>
            </c:numRef>
          </c:val>
          <c:extLst>
            <c:ext xmlns:c16="http://schemas.microsoft.com/office/drawing/2014/chart" uri="{C3380CC4-5D6E-409C-BE32-E72D297353CC}">
              <c16:uniqueId val="{00000002-2036-4836-907E-1027CC8E5DB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Veldperiode_Rood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DF39-41DF-A389-FBC75CFAE89E}"/>
              </c:ext>
            </c:extLst>
          </c:dPt>
          <c:val>
            <c:numRef>
              <c:f>Graskompas!$AF$143</c:f>
              <c:numCache>
                <c:formatCode>General</c:formatCode>
                <c:ptCount val="1"/>
                <c:pt idx="0">
                  <c:v>#N/A</c:v>
                </c:pt>
              </c:numCache>
            </c:numRef>
          </c:val>
          <c:extLst>
            <c:ext xmlns:c16="http://schemas.microsoft.com/office/drawing/2014/chart" uri="{C3380CC4-5D6E-409C-BE32-E72D297353CC}">
              <c16:uniqueId val="{00000002-DF39-41DF-A389-FBC75CFAE89E}"/>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Veldperiode_Groen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FA6D-48FD-81DB-8838CBF3D2D9}"/>
              </c:ext>
            </c:extLst>
          </c:dPt>
          <c:val>
            <c:numRef>
              <c:f>Graskompas!$AE$143</c:f>
              <c:numCache>
                <c:formatCode>General</c:formatCode>
                <c:ptCount val="1"/>
                <c:pt idx="0">
                  <c:v>#N/A</c:v>
                </c:pt>
              </c:numCache>
            </c:numRef>
          </c:val>
          <c:extLst>
            <c:ext xmlns:c16="http://schemas.microsoft.com/office/drawing/2014/chart" uri="{C3380CC4-5D6E-409C-BE32-E72D297353CC}">
              <c16:uniqueId val="{00000002-FA6D-48FD-81DB-8838CBF3D2D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Schudden_Groen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6D43-4DE4-984A-1B5CB53F1102}"/>
              </c:ext>
            </c:extLst>
          </c:dPt>
          <c:val>
            <c:numRef>
              <c:f>Graskompas!$AE$141</c:f>
              <c:numCache>
                <c:formatCode>General</c:formatCode>
                <c:ptCount val="1"/>
                <c:pt idx="0">
                  <c:v>#N/A</c:v>
                </c:pt>
              </c:numCache>
            </c:numRef>
          </c:val>
          <c:extLst>
            <c:ext xmlns:c16="http://schemas.microsoft.com/office/drawing/2014/chart" uri="{C3380CC4-5D6E-409C-BE32-E72D297353CC}">
              <c16:uniqueId val="{00000002-6D43-4DE4-984A-1B5CB53F110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T_B_M_Groen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C2E1-43FA-85E0-8BA5EEAB463F}"/>
              </c:ext>
            </c:extLst>
          </c:dPt>
          <c:val>
            <c:numRef>
              <c:f>Graskompas!$AE$139</c:f>
              <c:numCache>
                <c:formatCode>General</c:formatCode>
                <c:ptCount val="1"/>
                <c:pt idx="0">
                  <c:v>#N/A</c:v>
                </c:pt>
              </c:numCache>
            </c:numRef>
          </c:val>
          <c:extLst>
            <c:ext xmlns:c16="http://schemas.microsoft.com/office/drawing/2014/chart" uri="{C3380CC4-5D6E-409C-BE32-E72D297353CC}">
              <c16:uniqueId val="{00000002-C2E1-43FA-85E0-8BA5EEAB463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Schaduwplekken_Groen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539-427C-8AD3-5598C1FB7693}"/>
              </c:ext>
            </c:extLst>
          </c:dPt>
          <c:val>
            <c:numRef>
              <c:f>Graskompas!$AE$177</c:f>
              <c:numCache>
                <c:formatCode>General</c:formatCode>
                <c:ptCount val="1"/>
                <c:pt idx="0">
                  <c:v>0</c:v>
                </c:pt>
              </c:numCache>
            </c:numRef>
          </c:val>
          <c:extLst>
            <c:ext xmlns:c16="http://schemas.microsoft.com/office/drawing/2014/chart" uri="{C3380CC4-5D6E-409C-BE32-E72D297353CC}">
              <c16:uniqueId val="{00000002-3539-427C-8AD3-5598C1FB769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Schaduwplekken_Rood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5216-493D-A27C-91D5B561F8EF}"/>
              </c:ext>
            </c:extLst>
          </c:dPt>
          <c:val>
            <c:numRef>
              <c:f>Graskompas!$AF$177</c:f>
              <c:numCache>
                <c:formatCode>General</c:formatCode>
                <c:ptCount val="1"/>
                <c:pt idx="0">
                  <c:v>1</c:v>
                </c:pt>
              </c:numCache>
            </c:numRef>
          </c:val>
          <c:extLst>
            <c:ext xmlns:c16="http://schemas.microsoft.com/office/drawing/2014/chart" uri="{C3380CC4-5D6E-409C-BE32-E72D297353CC}">
              <c16:uniqueId val="{00000002-5216-493D-A27C-91D5B561F8E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Drinkplaats_Rood</c:v>
          </c:tx>
          <c:spPr>
            <a:blipFill>
              <a:blip xmlns:r="http://schemas.openxmlformats.org/officeDocument/2006/relationships" r:embed="rId3"/>
              <a:stretch>
                <a:fillRect/>
              </a:stretch>
            </a:blipFill>
            <a:ln>
              <a:noFill/>
            </a:ln>
            <a:effectLst/>
          </c:spPr>
          <c:invertIfNegative val="0"/>
          <c:val>
            <c:numRef>
              <c:f>Graskompas!$AF$175</c:f>
              <c:numCache>
                <c:formatCode>General</c:formatCode>
                <c:ptCount val="1"/>
                <c:pt idx="0">
                  <c:v>0</c:v>
                </c:pt>
              </c:numCache>
            </c:numRef>
          </c:val>
          <c:extLst>
            <c:ext xmlns:c16="http://schemas.microsoft.com/office/drawing/2014/chart" uri="{C3380CC4-5D6E-409C-BE32-E72D297353CC}">
              <c16:uniqueId val="{00000002-1DB4-432A-AD21-F4CA0FACF05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Drinkplaats_Groen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81D-4DFD-BD84-1600A00152DF}"/>
              </c:ext>
            </c:extLst>
          </c:dPt>
          <c:val>
            <c:numRef>
              <c:f>Graskompas!$AE$175</c:f>
              <c:numCache>
                <c:formatCode>General</c:formatCode>
                <c:ptCount val="1"/>
                <c:pt idx="0">
                  <c:v>1</c:v>
                </c:pt>
              </c:numCache>
            </c:numRef>
          </c:val>
          <c:extLst>
            <c:ext xmlns:c16="http://schemas.microsoft.com/office/drawing/2014/chart" uri="{C3380CC4-5D6E-409C-BE32-E72D297353CC}">
              <c16:uniqueId val="{00000000-381D-4DFD-BD84-1600A00152D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Afstand_Weide_Groen</c:v>
          </c:tx>
          <c:spPr>
            <a:blipFill>
              <a:blip xmlns:r="http://schemas.openxmlformats.org/officeDocument/2006/relationships" r:embed="rId3"/>
              <a:stretch>
                <a:fillRect/>
              </a:stretch>
            </a:blipFill>
            <a:ln>
              <a:noFill/>
            </a:ln>
            <a:effectLst/>
          </c:spPr>
          <c:invertIfNegative val="0"/>
          <c:val>
            <c:numRef>
              <c:f>Graskompas!$AE$173</c:f>
              <c:numCache>
                <c:formatCode>General</c:formatCode>
                <c:ptCount val="1"/>
                <c:pt idx="0">
                  <c:v>1</c:v>
                </c:pt>
              </c:numCache>
            </c:numRef>
          </c:val>
          <c:extLst>
            <c:ext xmlns:c16="http://schemas.microsoft.com/office/drawing/2014/chart" uri="{C3380CC4-5D6E-409C-BE32-E72D297353CC}">
              <c16:uniqueId val="{00000002-2D87-4D2C-BF9E-B5009D4BEB9D}"/>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Afstand_Weide_Rood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9DE1-4802-A5A7-67581DD25A76}"/>
              </c:ext>
            </c:extLst>
          </c:dPt>
          <c:val>
            <c:numRef>
              <c:f>Graskompas!$AF$173</c:f>
              <c:numCache>
                <c:formatCode>General</c:formatCode>
                <c:ptCount val="1"/>
                <c:pt idx="0">
                  <c:v>0</c:v>
                </c:pt>
              </c:numCache>
            </c:numRef>
          </c:val>
          <c:extLst>
            <c:ext xmlns:c16="http://schemas.microsoft.com/office/drawing/2014/chart" uri="{C3380CC4-5D6E-409C-BE32-E72D297353CC}">
              <c16:uniqueId val="{00000000-9DE1-4802-A5A7-67581DD25A7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Veebezetting_Groen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7FE-4D26-98D3-D088814DC672}"/>
              </c:ext>
            </c:extLst>
          </c:dPt>
          <c:val>
            <c:numRef>
              <c:f>Graskompas!$AE$161</c:f>
              <c:numCache>
                <c:formatCode>General</c:formatCode>
                <c:ptCount val="1"/>
                <c:pt idx="0">
                  <c:v>0</c:v>
                </c:pt>
              </c:numCache>
            </c:numRef>
          </c:val>
          <c:extLst>
            <c:ext xmlns:c16="http://schemas.microsoft.com/office/drawing/2014/chart" uri="{C3380CC4-5D6E-409C-BE32-E72D297353CC}">
              <c16:uniqueId val="{00000002-37FE-4D26-98D3-D088814DC67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Veebezetting_Rood</c:v>
          </c:tx>
          <c:spPr>
            <a:blipFill>
              <a:blip xmlns:r="http://schemas.openxmlformats.org/officeDocument/2006/relationships" r:embed="rId3"/>
              <a:stretch>
                <a:fillRect/>
              </a:stretch>
            </a:blipFill>
            <a:ln>
              <a:noFill/>
            </a:ln>
            <a:effectLst/>
          </c:spPr>
          <c:invertIfNegative val="0"/>
          <c:val>
            <c:numRef>
              <c:f>Graskompas!$AD$161</c:f>
              <c:numCache>
                <c:formatCode>General</c:formatCode>
                <c:ptCount val="1"/>
                <c:pt idx="0">
                  <c:v>0</c:v>
                </c:pt>
              </c:numCache>
            </c:numRef>
          </c:val>
          <c:extLst>
            <c:ext xmlns:c16="http://schemas.microsoft.com/office/drawing/2014/chart" uri="{C3380CC4-5D6E-409C-BE32-E72D297353CC}">
              <c16:uniqueId val="{00000002-B612-434E-A09D-6C915D2AE67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Veebezetting_Oranje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14A9-40AA-89B2-67AD7768F923}"/>
              </c:ext>
            </c:extLst>
          </c:dPt>
          <c:val>
            <c:numRef>
              <c:f>Graskompas!$AF$161</c:f>
              <c:numCache>
                <c:formatCode>General</c:formatCode>
                <c:ptCount val="1"/>
                <c:pt idx="0">
                  <c:v>0</c:v>
                </c:pt>
              </c:numCache>
            </c:numRef>
          </c:val>
          <c:extLst>
            <c:ext xmlns:c16="http://schemas.microsoft.com/office/drawing/2014/chart" uri="{C3380CC4-5D6E-409C-BE32-E72D297353CC}">
              <c16:uniqueId val="{00000000-14A9-40AA-89B2-67AD7768F92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Schaduwdoek</c:v>
          </c:tx>
          <c:spPr>
            <a:blipFill>
              <a:blip xmlns:r="http://schemas.openxmlformats.org/officeDocument/2006/relationships" r:embed="rId3"/>
              <a:stretch>
                <a:fillRect/>
              </a:stretch>
            </a:blipFill>
            <a:ln>
              <a:noFill/>
            </a:ln>
            <a:effectLst/>
          </c:spPr>
          <c:invertIfNegative val="0"/>
          <c:val>
            <c:numRef>
              <c:f>Graskompas!$AE$177</c:f>
              <c:numCache>
                <c:formatCode>General</c:formatCode>
                <c:ptCount val="1"/>
                <c:pt idx="0">
                  <c:v>0</c:v>
                </c:pt>
              </c:numCache>
            </c:numRef>
          </c:val>
          <c:extLst>
            <c:ext xmlns:c16="http://schemas.microsoft.com/office/drawing/2014/chart" uri="{C3380CC4-5D6E-409C-BE32-E72D297353CC}">
              <c16:uniqueId val="{00000002-3736-42DD-861D-324EABC911EC}"/>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Schaduwdoek</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4"/>
                <a:stretch>
                  <a:fillRect/>
                </a:stretch>
              </a:blipFill>
              <a:ln>
                <a:noFill/>
              </a:ln>
              <a:effectLst/>
            </c:spPr>
            <c:extLst>
              <c:ext xmlns:c16="http://schemas.microsoft.com/office/drawing/2014/chart" uri="{C3380CC4-5D6E-409C-BE32-E72D297353CC}">
                <c16:uniqueId val="{00000000-E3A2-4D8B-B4DB-34FBFEFCD3DA}"/>
              </c:ext>
            </c:extLst>
          </c:dPt>
          <c:val>
            <c:numRef>
              <c:f>Graskompas!$AE$177</c:f>
              <c:numCache>
                <c:formatCode>General</c:formatCode>
                <c:ptCount val="1"/>
                <c:pt idx="0">
                  <c:v>0</c:v>
                </c:pt>
              </c:numCache>
            </c:numRef>
          </c:val>
          <c:extLst>
            <c:ext xmlns:c16="http://schemas.microsoft.com/office/drawing/2014/chart" uri="{C3380CC4-5D6E-409C-BE32-E72D297353CC}">
              <c16:uniqueId val="{00000000-83F8-4A1B-BA8B-601FA135EF9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Blij</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DC9-49CE-969B-869145D5FF0C}"/>
              </c:ext>
            </c:extLst>
          </c:dPt>
          <c:val>
            <c:numRef>
              <c:f>Graskompas!$AH$173</c:f>
              <c:numCache>
                <c:formatCode>General</c:formatCode>
                <c:ptCount val="1"/>
                <c:pt idx="0">
                  <c:v>0</c:v>
                </c:pt>
              </c:numCache>
            </c:numRef>
          </c:val>
          <c:extLst>
            <c:ext xmlns:c16="http://schemas.microsoft.com/office/drawing/2014/chart" uri="{C3380CC4-5D6E-409C-BE32-E72D297353CC}">
              <c16:uniqueId val="{00000000-ADC9-49CE-969B-869145D5FF0C}"/>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Blij</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59B-4FE1-AB61-13B4F62B54BC}"/>
              </c:ext>
            </c:extLst>
          </c:dPt>
          <c:val>
            <c:numRef>
              <c:f>Graskompas!$AH$173</c:f>
              <c:numCache>
                <c:formatCode>General</c:formatCode>
                <c:ptCount val="1"/>
                <c:pt idx="0">
                  <c:v>0</c:v>
                </c:pt>
              </c:numCache>
            </c:numRef>
          </c:val>
          <c:extLst>
            <c:ext xmlns:c16="http://schemas.microsoft.com/office/drawing/2014/chart" uri="{C3380CC4-5D6E-409C-BE32-E72D297353CC}">
              <c16:uniqueId val="{00000002-A59B-4FE1-AB61-13B4F62B54BC}"/>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Boos</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85EE-4434-B75C-CA67179FF47E}"/>
              </c:ext>
            </c:extLst>
          </c:dPt>
          <c:val>
            <c:numRef>
              <c:f>Graskompas!$AI$173</c:f>
              <c:numCache>
                <c:formatCode>General</c:formatCode>
                <c:ptCount val="1"/>
                <c:pt idx="0">
                  <c:v>0</c:v>
                </c:pt>
              </c:numCache>
            </c:numRef>
          </c:val>
          <c:extLst>
            <c:ext xmlns:c16="http://schemas.microsoft.com/office/drawing/2014/chart" uri="{C3380CC4-5D6E-409C-BE32-E72D297353CC}">
              <c16:uniqueId val="{00000002-85EE-4434-B75C-CA67179FF47E}"/>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Boos</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D659-476B-83C9-46E4E503FEE5}"/>
              </c:ext>
            </c:extLst>
          </c:dPt>
          <c:val>
            <c:numRef>
              <c:f>Graskompas!$AI$173</c:f>
              <c:numCache>
                <c:formatCode>General</c:formatCode>
                <c:ptCount val="1"/>
                <c:pt idx="0">
                  <c:v>0</c:v>
                </c:pt>
              </c:numCache>
            </c:numRef>
          </c:val>
          <c:extLst>
            <c:ext xmlns:c16="http://schemas.microsoft.com/office/drawing/2014/chart" uri="{C3380CC4-5D6E-409C-BE32-E72D297353CC}">
              <c16:uniqueId val="{00000002-D659-476B-83C9-46E4E503FEE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Ijkcurve</c:v>
          </c:tx>
          <c:spPr>
            <a:ln w="25400" cap="rnd">
              <a:noFill/>
              <a:round/>
            </a:ln>
            <a:effectLst/>
          </c:spPr>
          <c:marker>
            <c:symbol val="circle"/>
            <c:size val="5"/>
            <c:spPr>
              <a:noFill/>
              <a:ln w="9525">
                <a:noFill/>
              </a:ln>
              <a:effectLst/>
            </c:spPr>
          </c:marker>
          <c:trendline>
            <c:spPr>
              <a:ln w="19050" cap="rnd">
                <a:solidFill>
                  <a:schemeClr val="tx1"/>
                </a:solidFill>
                <a:prstDash val="solid"/>
              </a:ln>
              <a:effectLst/>
            </c:spPr>
            <c:trendlineType val="linear"/>
            <c:dispRSqr val="0"/>
            <c:dispEq val="0"/>
          </c:trendline>
          <c:xVal>
            <c:numRef>
              <c:f>Scoring!$F$153:$F$154</c:f>
            </c:numRef>
          </c:xVal>
          <c:yVal>
            <c:numRef>
              <c:f>Scoring!$G$153:$G$154</c:f>
            </c:numRef>
          </c:yVal>
          <c:smooth val="0"/>
          <c:extLst>
            <c:ext xmlns:c16="http://schemas.microsoft.com/office/drawing/2014/chart" uri="{C3380CC4-5D6E-409C-BE32-E72D297353CC}">
              <c16:uniqueId val="{00000000-5033-4E14-8614-AD0C393B1865}"/>
            </c:ext>
          </c:extLst>
        </c:ser>
        <c:ser>
          <c:idx val="1"/>
          <c:order val="1"/>
          <c:tx>
            <c:v>Eigen Graskuil</c:v>
          </c:tx>
          <c:spPr>
            <a:ln w="25400" cap="rnd">
              <a:noFill/>
              <a:round/>
            </a:ln>
            <a:effectLst/>
          </c:spPr>
          <c:marker>
            <c:symbol val="circle"/>
            <c:size val="5"/>
            <c:spPr>
              <a:solidFill>
                <a:schemeClr val="accent6"/>
              </a:solidFill>
              <a:ln w="63500">
                <a:solidFill>
                  <a:schemeClr val="accent6"/>
                </a:solidFill>
              </a:ln>
              <a:effectLst/>
            </c:spPr>
          </c:marker>
          <c:dLbls>
            <c:dLbl>
              <c:idx val="0"/>
              <c:spPr>
                <a:noFill/>
                <a:ln cap="flat">
                  <a:solidFill>
                    <a:sysClr val="windowText" lastClr="000000">
                      <a:lumMod val="25000"/>
                      <a:lumOff val="75000"/>
                    </a:sysClr>
                  </a:solidFill>
                </a:ln>
                <a:effectLst/>
              </c:spPr>
              <c:txPr>
                <a:bodyPr rot="0" spcFirstLastPara="1" vertOverflow="ellipsis" vert="horz" wrap="square" lIns="38100" tIns="19050" rIns="38100" bIns="19050" anchor="ctr" anchorCtr="1">
                  <a:spAutoFit/>
                </a:bodyPr>
                <a:lstStyle/>
                <a:p>
                  <a:pPr>
                    <a:defRPr sz="1500" b="0" i="0" u="none" strike="noStrike" kern="1200" baseline="0">
                      <a:solidFill>
                        <a:schemeClr val="accent6"/>
                      </a:solidFill>
                      <a:latin typeface="+mn-lt"/>
                      <a:ea typeface="+mn-ea"/>
                      <a:cs typeface="+mn-cs"/>
                    </a:defRPr>
                  </a:pPr>
                  <a:endParaRPr lang="nl-BE"/>
                </a:p>
              </c:txPr>
              <c:dLblPos val="t"/>
              <c:showLegendKey val="0"/>
              <c:showVal val="0"/>
              <c:showCatName val="0"/>
              <c:showSerName val="1"/>
              <c:showPercent val="0"/>
              <c:showBubbleSize val="0"/>
              <c:extLst>
                <c:ext xmlns:c16="http://schemas.microsoft.com/office/drawing/2014/chart" uri="{C3380CC4-5D6E-409C-BE32-E72D297353CC}">
                  <c16:uniqueId val="{00000006-5033-4E14-8614-AD0C393B1865}"/>
                </c:ext>
              </c:extLst>
            </c:dLbl>
            <c:spPr>
              <a:noFill/>
              <a:ln cap="flat">
                <a:solidFill>
                  <a:sysClr val="windowText" lastClr="000000">
                    <a:lumMod val="25000"/>
                    <a:lumOff val="75000"/>
                  </a:sysClr>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BE"/>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Graskompas!$AE$204</c:f>
              <c:numCache>
                <c:formatCode>General</c:formatCode>
                <c:ptCount val="1"/>
                <c:pt idx="0">
                  <c:v>0</c:v>
                </c:pt>
              </c:numCache>
            </c:numRef>
          </c:xVal>
          <c:yVal>
            <c:numRef>
              <c:f>Graskompas!$AE$203</c:f>
              <c:numCache>
                <c:formatCode>General</c:formatCode>
                <c:ptCount val="1"/>
                <c:pt idx="0">
                  <c:v>0</c:v>
                </c:pt>
              </c:numCache>
            </c:numRef>
          </c:yVal>
          <c:smooth val="0"/>
          <c:extLst>
            <c:ext xmlns:c16="http://schemas.microsoft.com/office/drawing/2014/chart" uri="{C3380CC4-5D6E-409C-BE32-E72D297353CC}">
              <c16:uniqueId val="{00000004-5033-4E14-8614-AD0C393B1865}"/>
            </c:ext>
          </c:extLst>
        </c:ser>
        <c:ser>
          <c:idx val="2"/>
          <c:order val="2"/>
          <c:tx>
            <c:v>Eigen graskuil</c:v>
          </c:tx>
          <c:spPr>
            <a:ln w="25400" cap="rnd">
              <a:noFill/>
              <a:round/>
            </a:ln>
            <a:effectLst/>
          </c:spPr>
          <c:marker>
            <c:symbol val="circle"/>
            <c:size val="5"/>
            <c:spPr>
              <a:solidFill>
                <a:srgbClr val="FF0000"/>
              </a:solidFill>
              <a:ln w="63500">
                <a:solidFill>
                  <a:srgbClr val="FF0000"/>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500" b="0" i="0" u="none" strike="noStrike" kern="1200" baseline="0">
                    <a:solidFill>
                      <a:srgbClr val="FF0000"/>
                    </a:solidFill>
                    <a:latin typeface="+mn-lt"/>
                    <a:ea typeface="+mn-ea"/>
                    <a:cs typeface="+mn-cs"/>
                  </a:defRPr>
                </a:pPr>
                <a:endParaRPr lang="nl-BE"/>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Graskompas!$AF$204</c:f>
              <c:numCache>
                <c:formatCode>General</c:formatCode>
                <c:ptCount val="1"/>
                <c:pt idx="0">
                  <c:v>0</c:v>
                </c:pt>
              </c:numCache>
            </c:numRef>
          </c:xVal>
          <c:yVal>
            <c:numRef>
              <c:f>Graskompas!$AF$203</c:f>
              <c:numCache>
                <c:formatCode>General</c:formatCode>
                <c:ptCount val="1"/>
                <c:pt idx="0">
                  <c:v>0</c:v>
                </c:pt>
              </c:numCache>
            </c:numRef>
          </c:yVal>
          <c:smooth val="0"/>
          <c:extLst>
            <c:ext xmlns:c16="http://schemas.microsoft.com/office/drawing/2014/chart" uri="{C3380CC4-5D6E-409C-BE32-E72D297353CC}">
              <c16:uniqueId val="{00000005-5033-4E14-8614-AD0C393B1865}"/>
            </c:ext>
          </c:extLst>
        </c:ser>
        <c:dLbls>
          <c:showLegendKey val="0"/>
          <c:showVal val="0"/>
          <c:showCatName val="0"/>
          <c:showSerName val="0"/>
          <c:showPercent val="0"/>
          <c:showBubbleSize val="0"/>
        </c:dLbls>
        <c:axId val="1443264784"/>
        <c:axId val="1443265264"/>
      </c:scatterChart>
      <c:valAx>
        <c:axId val="1443264784"/>
        <c:scaling>
          <c:orientation val="minMax"/>
          <c:min val="3.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800" b="0" i="0" u="none" strike="noStrike" kern="1200" baseline="0">
                    <a:solidFill>
                      <a:schemeClr val="accent6"/>
                    </a:solidFill>
                    <a:latin typeface="+mn-lt"/>
                    <a:ea typeface="+mn-ea"/>
                    <a:cs typeface="+mn-cs"/>
                  </a:defRPr>
                </a:pPr>
                <a:r>
                  <a:rPr lang="nl-BE" sz="1800">
                    <a:solidFill>
                      <a:schemeClr val="accent6"/>
                    </a:solidFill>
                  </a:rPr>
                  <a:t>pH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accent6"/>
                  </a:solidFill>
                  <a:latin typeface="+mn-lt"/>
                  <a:ea typeface="+mn-ea"/>
                  <a:cs typeface="+mn-cs"/>
                </a:defRPr>
              </a:pPr>
              <a:endParaRPr lang="nl-B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500" b="0" i="0" u="none" strike="noStrike" kern="1200" baseline="0">
                <a:solidFill>
                  <a:schemeClr val="tx1">
                    <a:lumMod val="65000"/>
                    <a:lumOff val="35000"/>
                  </a:schemeClr>
                </a:solidFill>
                <a:latin typeface="+mn-lt"/>
                <a:ea typeface="+mn-ea"/>
                <a:cs typeface="+mn-cs"/>
              </a:defRPr>
            </a:pPr>
            <a:endParaRPr lang="nl-BE"/>
          </a:p>
        </c:txPr>
        <c:crossAx val="1443265264"/>
        <c:crosses val="autoZero"/>
        <c:crossBetween val="midCat"/>
      </c:valAx>
      <c:valAx>
        <c:axId val="1443265264"/>
        <c:scaling>
          <c:orientation val="minMax"/>
          <c:max val="60"/>
          <c:min val="1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accent6"/>
                    </a:solidFill>
                    <a:latin typeface="+mn-lt"/>
                    <a:ea typeface="+mn-ea"/>
                    <a:cs typeface="+mn-cs"/>
                  </a:defRPr>
                </a:pPr>
                <a:r>
                  <a:rPr lang="nl-BE" sz="1800">
                    <a:solidFill>
                      <a:schemeClr val="accent6"/>
                    </a:solidFill>
                  </a:rPr>
                  <a:t>% droge stof</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accent6"/>
                  </a:solidFill>
                  <a:latin typeface="+mn-lt"/>
                  <a:ea typeface="+mn-ea"/>
                  <a:cs typeface="+mn-cs"/>
                </a:defRPr>
              </a:pPr>
              <a:endParaRPr lang="nl-B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500" b="0" i="0" u="none" strike="noStrike" kern="1200" baseline="0">
                <a:solidFill>
                  <a:schemeClr val="tx1">
                    <a:lumMod val="65000"/>
                    <a:lumOff val="35000"/>
                  </a:schemeClr>
                </a:solidFill>
                <a:latin typeface="+mn-lt"/>
                <a:ea typeface="+mn-ea"/>
                <a:cs typeface="+mn-cs"/>
              </a:defRPr>
            </a:pPr>
            <a:endParaRPr lang="nl-BE"/>
          </a:p>
        </c:txPr>
        <c:crossAx val="1443264784"/>
        <c:crosses val="autoZero"/>
        <c:crossBetween val="midCat"/>
      </c:valAx>
      <c:spPr>
        <a:blipFill>
          <a:blip xmlns:r="http://schemas.openxmlformats.org/officeDocument/2006/relationships" r:embed="rId3"/>
          <a:stretch>
            <a:fillRect/>
          </a:stretch>
        </a:blip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Ammoniakfractie_Groen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F953-4FD6-8809-43E218D3A213}"/>
              </c:ext>
            </c:extLst>
          </c:dPt>
          <c:val>
            <c:numRef>
              <c:f>Graskompas!$AD$207</c:f>
              <c:numCache>
                <c:formatCode>General</c:formatCode>
                <c:ptCount val="1"/>
                <c:pt idx="0">
                  <c:v>1</c:v>
                </c:pt>
              </c:numCache>
            </c:numRef>
          </c:val>
          <c:extLst>
            <c:ext xmlns:c16="http://schemas.microsoft.com/office/drawing/2014/chart" uri="{C3380CC4-5D6E-409C-BE32-E72D297353CC}">
              <c16:uniqueId val="{00000002-F953-4FD6-8809-43E218D3A21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Ammoniakfractie_Lichtgroen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0C16-4056-AAFB-46AB0B655357}"/>
              </c:ext>
            </c:extLst>
          </c:dPt>
          <c:val>
            <c:numRef>
              <c:f>Graskompas!$AE$207</c:f>
              <c:numCache>
                <c:formatCode>General</c:formatCode>
                <c:ptCount val="1"/>
                <c:pt idx="0">
                  <c:v>0</c:v>
                </c:pt>
              </c:numCache>
            </c:numRef>
          </c:val>
          <c:extLst>
            <c:ext xmlns:c16="http://schemas.microsoft.com/office/drawing/2014/chart" uri="{C3380CC4-5D6E-409C-BE32-E72D297353CC}">
              <c16:uniqueId val="{00000002-0C16-4056-AAFB-46AB0B655357}"/>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Ammoniakfractie_Oranje</c:v>
          </c:tx>
          <c:spPr>
            <a:blipFill>
              <a:blip xmlns:r="http://schemas.openxmlformats.org/officeDocument/2006/relationships" r:embed="rId3"/>
              <a:stretch>
                <a:fillRect/>
              </a:stretch>
            </a:blipFill>
            <a:ln>
              <a:noFill/>
            </a:ln>
            <a:effectLst/>
          </c:spPr>
          <c:invertIfNegative val="0"/>
          <c:val>
            <c:numRef>
              <c:f>Graskompas!$AF$207</c:f>
              <c:numCache>
                <c:formatCode>General</c:formatCode>
                <c:ptCount val="1"/>
                <c:pt idx="0">
                  <c:v>0</c:v>
                </c:pt>
              </c:numCache>
            </c:numRef>
          </c:val>
          <c:extLst>
            <c:ext xmlns:c16="http://schemas.microsoft.com/office/drawing/2014/chart" uri="{C3380CC4-5D6E-409C-BE32-E72D297353CC}">
              <c16:uniqueId val="{00000002-4940-4DAF-8FB6-FDDD739975D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Ammoniakfractie_Rood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55BC-4010-89EA-FEF4F555BE96}"/>
              </c:ext>
            </c:extLst>
          </c:dPt>
          <c:val>
            <c:numRef>
              <c:f>Graskompas!$AG$207</c:f>
              <c:numCache>
                <c:formatCode>General</c:formatCode>
                <c:ptCount val="1"/>
                <c:pt idx="0">
                  <c:v>0</c:v>
                </c:pt>
              </c:numCache>
            </c:numRef>
          </c:val>
          <c:extLst>
            <c:ext xmlns:c16="http://schemas.microsoft.com/office/drawing/2014/chart" uri="{C3380CC4-5D6E-409C-BE32-E72D297353CC}">
              <c16:uniqueId val="{00000002-55BC-4010-89EA-FEF4F555BE9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Ras_Oranje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23D9-42CE-B963-B3B79BAB9743}"/>
              </c:ext>
            </c:extLst>
          </c:dPt>
          <c:val>
            <c:numRef>
              <c:f>Graskompas!$AF$208</c:f>
              <c:numCache>
                <c:formatCode>General</c:formatCode>
                <c:ptCount val="1"/>
                <c:pt idx="0">
                  <c:v>0</c:v>
                </c:pt>
              </c:numCache>
            </c:numRef>
          </c:val>
          <c:extLst>
            <c:ext xmlns:c16="http://schemas.microsoft.com/office/drawing/2014/chart" uri="{C3380CC4-5D6E-409C-BE32-E72D297353CC}">
              <c16:uniqueId val="{00000000-23D9-42CE-B963-B3B79BAB974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Ras_Groen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823C-42CE-B0B9-0502AE4FBF76}"/>
              </c:ext>
            </c:extLst>
          </c:dPt>
          <c:val>
            <c:numRef>
              <c:f>Graskompas!$AD$208</c:f>
              <c:numCache>
                <c:formatCode>General</c:formatCode>
                <c:ptCount val="1"/>
                <c:pt idx="0">
                  <c:v>1</c:v>
                </c:pt>
              </c:numCache>
            </c:numRef>
          </c:val>
          <c:extLst>
            <c:ext xmlns:c16="http://schemas.microsoft.com/office/drawing/2014/chart" uri="{C3380CC4-5D6E-409C-BE32-E72D297353CC}">
              <c16:uniqueId val="{00000000-823C-42CE-B0B9-0502AE4FBF7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Ras_Rood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C6D-448F-B645-0467DA382C48}"/>
              </c:ext>
            </c:extLst>
          </c:dPt>
          <c:val>
            <c:numRef>
              <c:f>Graskompas!$AG$208</c:f>
              <c:numCache>
                <c:formatCode>General</c:formatCode>
                <c:ptCount val="1"/>
                <c:pt idx="0">
                  <c:v>0</c:v>
                </c:pt>
              </c:numCache>
            </c:numRef>
          </c:val>
          <c:extLst>
            <c:ext xmlns:c16="http://schemas.microsoft.com/office/drawing/2014/chart" uri="{C3380CC4-5D6E-409C-BE32-E72D297353CC}">
              <c16:uniqueId val="{00000002-4C6D-448F-B645-0467DA382C48}"/>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Ras_Lichtgroen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7188-4A04-87EE-AA8E11D50436}"/>
              </c:ext>
            </c:extLst>
          </c:dPt>
          <c:val>
            <c:numRef>
              <c:f>Graskompas!$AE$208</c:f>
              <c:numCache>
                <c:formatCode>General</c:formatCode>
                <c:ptCount val="1"/>
                <c:pt idx="0">
                  <c:v>0</c:v>
                </c:pt>
              </c:numCache>
            </c:numRef>
          </c:val>
          <c:extLst>
            <c:ext xmlns:c16="http://schemas.microsoft.com/office/drawing/2014/chart" uri="{C3380CC4-5D6E-409C-BE32-E72D297353CC}">
              <c16:uniqueId val="{00000002-7188-4A04-87EE-AA8E11D5043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DS_pH_Groen</c:v>
          </c:tx>
          <c:spPr>
            <a:blipFill>
              <a:blip xmlns:r="http://schemas.openxmlformats.org/officeDocument/2006/relationships" r:embed="rId3"/>
              <a:stretch>
                <a:fillRect/>
              </a:stretch>
            </a:blipFill>
            <a:ln>
              <a:noFill/>
            </a:ln>
            <a:effectLst/>
          </c:spPr>
          <c:invertIfNegative val="0"/>
          <c:val>
            <c:numRef>
              <c:f>Graskompas!$AE$205</c:f>
              <c:numCache>
                <c:formatCode>General</c:formatCode>
                <c:ptCount val="1"/>
                <c:pt idx="0">
                  <c:v>0</c:v>
                </c:pt>
              </c:numCache>
            </c:numRef>
          </c:val>
          <c:extLst>
            <c:ext xmlns:c16="http://schemas.microsoft.com/office/drawing/2014/chart" uri="{C3380CC4-5D6E-409C-BE32-E72D297353CC}">
              <c16:uniqueId val="{00000002-BC4E-41BE-B69F-6AC8B79ECE5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DS_pH_Rood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A72-4553-9E50-DCF46E4C467D}"/>
              </c:ext>
            </c:extLst>
          </c:dPt>
          <c:val>
            <c:numRef>
              <c:f>Graskompas!$AF$205</c:f>
              <c:numCache>
                <c:formatCode>General</c:formatCode>
                <c:ptCount val="1"/>
                <c:pt idx="0">
                  <c:v>0</c:v>
                </c:pt>
              </c:numCache>
            </c:numRef>
          </c:val>
          <c:extLst>
            <c:ext xmlns:c16="http://schemas.microsoft.com/office/drawing/2014/chart" uri="{C3380CC4-5D6E-409C-BE32-E72D297353CC}">
              <c16:uniqueId val="{00000000-3A72-4553-9E50-DCF46E4C467D}"/>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Balans</c:v>
          </c:tx>
          <c:spPr>
            <a:blipFill>
              <a:blip xmlns:r="http://schemas.openxmlformats.org/officeDocument/2006/relationships" r:embed="rId3"/>
              <a:stretch>
                <a:fillRect/>
              </a:stretch>
            </a:blipFill>
            <a:ln>
              <a:noFill/>
            </a:ln>
            <a:effectLst/>
          </c:spPr>
          <c:invertIfNegative val="0"/>
          <c:val>
            <c:numRef>
              <c:f>Graskompas!$AF$236</c:f>
              <c:numCache>
                <c:formatCode>General</c:formatCode>
                <c:ptCount val="1"/>
                <c:pt idx="0">
                  <c:v>#N/A</c:v>
                </c:pt>
              </c:numCache>
            </c:numRef>
          </c:val>
          <c:extLst>
            <c:ext xmlns:c16="http://schemas.microsoft.com/office/drawing/2014/chart" uri="{C3380CC4-5D6E-409C-BE32-E72D297353CC}">
              <c16:uniqueId val="{00000001-389F-4B0F-94E0-71A29504FF82}"/>
            </c:ext>
          </c:extLst>
        </c:ser>
        <c:dLbls>
          <c:showLegendKey val="0"/>
          <c:showVal val="0"/>
          <c:showCatName val="0"/>
          <c:showSerName val="0"/>
          <c:showPercent val="0"/>
          <c:showBubbleSize val="0"/>
        </c:dLbls>
        <c:gapWidth val="0"/>
        <c:overlap val="-27"/>
        <c:axId val="2132589008"/>
        <c:axId val="2132590448"/>
      </c:barChart>
      <c:catAx>
        <c:axId val="2132589008"/>
        <c:scaling>
          <c:orientation val="minMax"/>
        </c:scaling>
        <c:delete val="1"/>
        <c:axPos val="b"/>
        <c:numFmt formatCode="General" sourceLinked="1"/>
        <c:majorTickMark val="none"/>
        <c:minorTickMark val="none"/>
        <c:tickLblPos val="nextTo"/>
        <c:crossAx val="2132590448"/>
        <c:crosses val="autoZero"/>
        <c:auto val="1"/>
        <c:lblAlgn val="ctr"/>
        <c:lblOffset val="100"/>
        <c:noMultiLvlLbl val="0"/>
      </c:catAx>
      <c:valAx>
        <c:axId val="2132590448"/>
        <c:scaling>
          <c:orientation val="minMax"/>
          <c:max val="1"/>
          <c:min val="0"/>
        </c:scaling>
        <c:delete val="1"/>
        <c:axPos val="l"/>
        <c:numFmt formatCode="General" sourceLinked="1"/>
        <c:majorTickMark val="none"/>
        <c:minorTickMark val="none"/>
        <c:tickLblPos val="nextTo"/>
        <c:crossAx val="21325890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Scheef</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0129-49A7-B8AC-47EEE4F3804A}"/>
              </c:ext>
            </c:extLst>
          </c:dPt>
          <c:val>
            <c:numRef>
              <c:f>Graskompas!$AG$236</c:f>
              <c:numCache>
                <c:formatCode>General</c:formatCode>
                <c:ptCount val="1"/>
                <c:pt idx="0">
                  <c:v>#N/A</c:v>
                </c:pt>
              </c:numCache>
            </c:numRef>
          </c:val>
          <c:extLst>
            <c:ext xmlns:c16="http://schemas.microsoft.com/office/drawing/2014/chart" uri="{C3380CC4-5D6E-409C-BE32-E72D297353CC}">
              <c16:uniqueId val="{00000000-0129-49A7-B8AC-47EEE4F3804A}"/>
            </c:ext>
          </c:extLst>
        </c:ser>
        <c:dLbls>
          <c:showLegendKey val="0"/>
          <c:showVal val="0"/>
          <c:showCatName val="0"/>
          <c:showSerName val="0"/>
          <c:showPercent val="0"/>
          <c:showBubbleSize val="0"/>
        </c:dLbls>
        <c:gapWidth val="0"/>
        <c:overlap val="-27"/>
        <c:axId val="2132589008"/>
        <c:axId val="2132590448"/>
      </c:barChart>
      <c:catAx>
        <c:axId val="2132589008"/>
        <c:scaling>
          <c:orientation val="minMax"/>
        </c:scaling>
        <c:delete val="1"/>
        <c:axPos val="b"/>
        <c:numFmt formatCode="General" sourceLinked="1"/>
        <c:majorTickMark val="none"/>
        <c:minorTickMark val="none"/>
        <c:tickLblPos val="nextTo"/>
        <c:crossAx val="2132590448"/>
        <c:crosses val="autoZero"/>
        <c:auto val="1"/>
        <c:lblAlgn val="ctr"/>
        <c:lblOffset val="100"/>
        <c:noMultiLvlLbl val="0"/>
      </c:catAx>
      <c:valAx>
        <c:axId val="2132590448"/>
        <c:scaling>
          <c:orientation val="minMax"/>
          <c:max val="1"/>
          <c:min val="0"/>
        </c:scaling>
        <c:delete val="1"/>
        <c:axPos val="l"/>
        <c:numFmt formatCode="General" sourceLinked="1"/>
        <c:majorTickMark val="none"/>
        <c:minorTickMark val="none"/>
        <c:tickLblPos val="nextTo"/>
        <c:crossAx val="21325890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Kuilhygiene</c:v>
          </c:tx>
          <c:spPr>
            <a:blipFill>
              <a:blip xmlns:r="http://schemas.openxmlformats.org/officeDocument/2006/relationships" r:embed="rId3"/>
              <a:stretch>
                <a:fillRect/>
              </a:stretch>
            </a:blipFill>
            <a:ln>
              <a:noFill/>
            </a:ln>
            <a:effectLst/>
          </c:spPr>
          <c:invertIfNegative val="0"/>
          <c:val>
            <c:numRef>
              <c:f>Graskompas!$AF$229</c:f>
              <c:numCache>
                <c:formatCode>General</c:formatCode>
                <c:ptCount val="1"/>
                <c:pt idx="0">
                  <c:v>#N/A</c:v>
                </c:pt>
              </c:numCache>
            </c:numRef>
          </c:val>
          <c:extLst>
            <c:ext xmlns:c16="http://schemas.microsoft.com/office/drawing/2014/chart" uri="{C3380CC4-5D6E-409C-BE32-E72D297353CC}">
              <c16:uniqueId val="{00000002-A4BE-4410-A93D-46CF890086D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Kuilhygiene_Lichtgroen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06CC-49EC-9B7D-FFD8EF2B6F2A}"/>
              </c:ext>
            </c:extLst>
          </c:dPt>
          <c:val>
            <c:numRef>
              <c:f>Graskompas!$AG$229</c:f>
              <c:numCache>
                <c:formatCode>General</c:formatCode>
                <c:ptCount val="1"/>
                <c:pt idx="0">
                  <c:v>#N/A</c:v>
                </c:pt>
              </c:numCache>
            </c:numRef>
          </c:val>
          <c:extLst>
            <c:ext xmlns:c16="http://schemas.microsoft.com/office/drawing/2014/chart" uri="{C3380CC4-5D6E-409C-BE32-E72D297353CC}">
              <c16:uniqueId val="{00000000-06CC-49EC-9B7D-FFD8EF2B6F2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Kuilhygiene_oranje</c:v>
          </c:tx>
          <c:spPr>
            <a:blipFill>
              <a:blip xmlns:r="http://schemas.openxmlformats.org/officeDocument/2006/relationships" r:embed="rId3"/>
              <a:stretch>
                <a:fillRect/>
              </a:stretch>
            </a:blipFill>
            <a:ln>
              <a:noFill/>
            </a:ln>
            <a:effectLst/>
          </c:spPr>
          <c:invertIfNegative val="0"/>
          <c:val>
            <c:numRef>
              <c:f>Graskompas!$AH$229</c:f>
              <c:numCache>
                <c:formatCode>General</c:formatCode>
                <c:ptCount val="1"/>
                <c:pt idx="0">
                  <c:v>#N/A</c:v>
                </c:pt>
              </c:numCache>
            </c:numRef>
          </c:val>
          <c:extLst>
            <c:ext xmlns:c16="http://schemas.microsoft.com/office/drawing/2014/chart" uri="{C3380CC4-5D6E-409C-BE32-E72D297353CC}">
              <c16:uniqueId val="{00000000-65AC-4C80-8258-FA60FFBE404E}"/>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Kuilhygiene_rood</c:v>
          </c:tx>
          <c:spPr>
            <a:blipFill>
              <a:blip xmlns:r="http://schemas.openxmlformats.org/officeDocument/2006/relationships" r:embed="rId3"/>
              <a:stretch>
                <a:fillRect/>
              </a:stretch>
            </a:blipFill>
            <a:ln>
              <a:noFill/>
            </a:ln>
            <a:effectLst/>
          </c:spPr>
          <c:invertIfNegative val="0"/>
          <c:val>
            <c:numRef>
              <c:f>Graskompas!$AI$229</c:f>
              <c:numCache>
                <c:formatCode>General</c:formatCode>
                <c:ptCount val="1"/>
                <c:pt idx="0">
                  <c:v>#N/A</c:v>
                </c:pt>
              </c:numCache>
            </c:numRef>
          </c:val>
          <c:extLst>
            <c:ext xmlns:c16="http://schemas.microsoft.com/office/drawing/2014/chart" uri="{C3380CC4-5D6E-409C-BE32-E72D297353CC}">
              <c16:uniqueId val="{00000000-2889-4918-A039-8EDB14EBD87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Tijd_Groen</c:v>
          </c:tx>
          <c:spPr>
            <a:blipFill>
              <a:blip xmlns:r="http://schemas.openxmlformats.org/officeDocument/2006/relationships" r:embed="rId3"/>
              <a:stretch>
                <a:fillRect/>
              </a:stretch>
            </a:blipFill>
            <a:ln>
              <a:noFill/>
            </a:ln>
            <a:effectLst/>
          </c:spPr>
          <c:invertIfNegative val="0"/>
          <c:val>
            <c:numRef>
              <c:f>Graskompas!$AF$238</c:f>
              <c:numCache>
                <c:formatCode>General</c:formatCode>
                <c:ptCount val="1"/>
                <c:pt idx="0">
                  <c:v>#N/A</c:v>
                </c:pt>
              </c:numCache>
            </c:numRef>
          </c:val>
          <c:extLst>
            <c:ext xmlns:c16="http://schemas.microsoft.com/office/drawing/2014/chart" uri="{C3380CC4-5D6E-409C-BE32-E72D297353CC}">
              <c16:uniqueId val="{00000000-6375-4A7B-9683-CDA538DA2A00}"/>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Tijd_Oranje</c:v>
          </c:tx>
          <c:spPr>
            <a:blipFill>
              <a:blip xmlns:r="http://schemas.openxmlformats.org/officeDocument/2006/relationships" r:embed="rId3"/>
              <a:stretch>
                <a:fillRect/>
              </a:stretch>
            </a:blipFill>
            <a:ln>
              <a:noFill/>
            </a:ln>
            <a:effectLst/>
          </c:spPr>
          <c:invertIfNegative val="0"/>
          <c:val>
            <c:numRef>
              <c:f>Graskompas!$AG$238</c:f>
              <c:numCache>
                <c:formatCode>General</c:formatCode>
                <c:ptCount val="1"/>
                <c:pt idx="0">
                  <c:v>#N/A</c:v>
                </c:pt>
              </c:numCache>
            </c:numRef>
          </c:val>
          <c:extLst>
            <c:ext xmlns:c16="http://schemas.microsoft.com/office/drawing/2014/chart" uri="{C3380CC4-5D6E-409C-BE32-E72D297353CC}">
              <c16:uniqueId val="{00000000-9FA4-4483-BBC7-137F1706B47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Tijd_Rood</c:v>
          </c:tx>
          <c:spPr>
            <a:blipFill>
              <a:blip xmlns:r="http://schemas.openxmlformats.org/officeDocument/2006/relationships" r:embed="rId3"/>
              <a:stretch>
                <a:fillRect/>
              </a:stretch>
            </a:blipFill>
            <a:ln>
              <a:noFill/>
            </a:ln>
            <a:effectLst/>
          </c:spPr>
          <c:invertIfNegative val="0"/>
          <c:val>
            <c:numRef>
              <c:f>Graskompas!$AH$238</c:f>
              <c:numCache>
                <c:formatCode>General</c:formatCode>
                <c:ptCount val="1"/>
                <c:pt idx="0">
                  <c:v>#N/A</c:v>
                </c:pt>
              </c:numCache>
            </c:numRef>
          </c:val>
          <c:extLst>
            <c:ext xmlns:c16="http://schemas.microsoft.com/office/drawing/2014/chart" uri="{C3380CC4-5D6E-409C-BE32-E72D297353CC}">
              <c16:uniqueId val="{00000000-4DE1-4005-BF8F-E67A9771C59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Aaanvoer_Aanrij_Groen</c:v>
          </c:tx>
          <c:spPr>
            <a:blipFill>
              <a:blip xmlns:r="http://schemas.openxmlformats.org/officeDocument/2006/relationships" r:embed="rId3"/>
              <a:stretch>
                <a:fillRect/>
              </a:stretch>
            </a:blipFill>
            <a:ln>
              <a:noFill/>
            </a:ln>
            <a:effectLst/>
          </c:spPr>
          <c:invertIfNegative val="0"/>
          <c:val>
            <c:numRef>
              <c:f>Graskompas!$AF$236</c:f>
              <c:numCache>
                <c:formatCode>General</c:formatCode>
                <c:ptCount val="1"/>
                <c:pt idx="0">
                  <c:v>#N/A</c:v>
                </c:pt>
              </c:numCache>
            </c:numRef>
          </c:val>
          <c:extLst>
            <c:ext xmlns:c16="http://schemas.microsoft.com/office/drawing/2014/chart" uri="{C3380CC4-5D6E-409C-BE32-E72D297353CC}">
              <c16:uniqueId val="{00000000-1694-4D12-A4E7-64E488BBE15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Aaanvoer_Aanrij_Rood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115A-4E59-ADF9-88698954ABF0}"/>
              </c:ext>
            </c:extLst>
          </c:dPt>
          <c:val>
            <c:numRef>
              <c:f>Graskompas!$AG$236</c:f>
              <c:numCache>
                <c:formatCode>General</c:formatCode>
                <c:ptCount val="1"/>
                <c:pt idx="0">
                  <c:v>#N/A</c:v>
                </c:pt>
              </c:numCache>
            </c:numRef>
          </c:val>
          <c:extLst>
            <c:ext xmlns:c16="http://schemas.microsoft.com/office/drawing/2014/chart" uri="{C3380CC4-5D6E-409C-BE32-E72D297353CC}">
              <c16:uniqueId val="{00000000-115A-4E59-ADF9-88698954ABF0}"/>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Mol</c:v>
          </c:tx>
          <c:spPr>
            <a:blipFill>
              <a:blip xmlns:r="http://schemas.openxmlformats.org/officeDocument/2006/relationships" r:embed="rId3"/>
              <a:stretch>
                <a:fillRect/>
              </a:stretch>
            </a:blipFill>
            <a:ln>
              <a:noFill/>
            </a:ln>
            <a:effectLst/>
          </c:spPr>
          <c:invertIfNegative val="0"/>
          <c:val>
            <c:numRef>
              <c:f>Graskompas!$AG$262</c:f>
              <c:numCache>
                <c:formatCode>General</c:formatCode>
                <c:ptCount val="1"/>
                <c:pt idx="0">
                  <c:v>#N/A</c:v>
                </c:pt>
              </c:numCache>
            </c:numRef>
          </c:val>
          <c:extLst>
            <c:ext xmlns:c16="http://schemas.microsoft.com/office/drawing/2014/chart" uri="{C3380CC4-5D6E-409C-BE32-E72D297353CC}">
              <c16:uniqueId val="{00000001-B2DF-451E-893B-EEE9BD5B4BA8}"/>
            </c:ext>
          </c:extLst>
        </c:ser>
        <c:dLbls>
          <c:showLegendKey val="0"/>
          <c:showVal val="0"/>
          <c:showCatName val="0"/>
          <c:showSerName val="0"/>
          <c:showPercent val="0"/>
          <c:showBubbleSize val="0"/>
        </c:dLbls>
        <c:gapWidth val="0"/>
        <c:overlap val="-27"/>
        <c:axId val="1279565616"/>
        <c:axId val="1279566096"/>
      </c:barChart>
      <c:catAx>
        <c:axId val="1279565616"/>
        <c:scaling>
          <c:orientation val="minMax"/>
        </c:scaling>
        <c:delete val="1"/>
        <c:axPos val="b"/>
        <c:numFmt formatCode="General" sourceLinked="1"/>
        <c:majorTickMark val="none"/>
        <c:minorTickMark val="none"/>
        <c:tickLblPos val="nextTo"/>
        <c:crossAx val="1279566096"/>
        <c:crosses val="autoZero"/>
        <c:auto val="1"/>
        <c:lblAlgn val="ctr"/>
        <c:lblOffset val="100"/>
        <c:noMultiLvlLbl val="0"/>
      </c:catAx>
      <c:valAx>
        <c:axId val="1279566096"/>
        <c:scaling>
          <c:orientation val="minMax"/>
          <c:max val="1"/>
          <c:min val="0"/>
        </c:scaling>
        <c:delete val="1"/>
        <c:axPos val="l"/>
        <c:numFmt formatCode="General" sourceLinked="1"/>
        <c:majorTickMark val="none"/>
        <c:minorTickMark val="none"/>
        <c:tickLblPos val="nextTo"/>
        <c:crossAx val="12795656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Mol_Rood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5CD4-431B-B117-816F226DC9A9}"/>
              </c:ext>
            </c:extLst>
          </c:dPt>
          <c:val>
            <c:numRef>
              <c:f>Graskompas!$AG$262</c:f>
              <c:numCache>
                <c:formatCode>General</c:formatCode>
                <c:ptCount val="1"/>
                <c:pt idx="0">
                  <c:v>#N/A</c:v>
                </c:pt>
              </c:numCache>
            </c:numRef>
          </c:val>
          <c:extLst>
            <c:ext xmlns:c16="http://schemas.microsoft.com/office/drawing/2014/chart" uri="{C3380CC4-5D6E-409C-BE32-E72D297353CC}">
              <c16:uniqueId val="{00000002-5CD4-431B-B117-816F226DC9A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Mol_Groen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C262-4236-9816-23468021F49B}"/>
              </c:ext>
            </c:extLst>
          </c:dPt>
          <c:val>
            <c:numRef>
              <c:f>Graskompas!$AF$262</c:f>
              <c:numCache>
                <c:formatCode>General</c:formatCode>
                <c:ptCount val="1"/>
                <c:pt idx="0">
                  <c:v>#N/A</c:v>
                </c:pt>
              </c:numCache>
            </c:numRef>
          </c:val>
          <c:extLst>
            <c:ext xmlns:c16="http://schemas.microsoft.com/office/drawing/2014/chart" uri="{C3380CC4-5D6E-409C-BE32-E72D297353CC}">
              <c16:uniqueId val="{00000002-C262-4236-9816-23468021F49B}"/>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Mol_Groen</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69D9-46D9-B65C-E70F150C5935}"/>
              </c:ext>
            </c:extLst>
          </c:dPt>
          <c:val>
            <c:numRef>
              <c:f>Graskompas!$AF$262</c:f>
              <c:numCache>
                <c:formatCode>General</c:formatCode>
                <c:ptCount val="1"/>
                <c:pt idx="0">
                  <c:v>#N/A</c:v>
                </c:pt>
              </c:numCache>
            </c:numRef>
          </c:val>
          <c:extLst>
            <c:ext xmlns:c16="http://schemas.microsoft.com/office/drawing/2014/chart" uri="{C3380CC4-5D6E-409C-BE32-E72D297353CC}">
              <c16:uniqueId val="{00000002-69D9-46D9-B65C-E70F150C593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Insporing</c:v>
          </c:tx>
          <c:spPr>
            <a:blipFill>
              <a:blip xmlns:r="http://schemas.openxmlformats.org/officeDocument/2006/relationships" r:embed="rId3"/>
              <a:stretch>
                <a:fillRect/>
              </a:stretch>
            </a:blipFill>
            <a:ln>
              <a:noFill/>
            </a:ln>
            <a:effectLst/>
          </c:spPr>
          <c:invertIfNegative val="0"/>
          <c:val>
            <c:numRef>
              <c:f>Graskompas!$AG$265</c:f>
              <c:numCache>
                <c:formatCode>General</c:formatCode>
                <c:ptCount val="1"/>
                <c:pt idx="0">
                  <c:v>#N/A</c:v>
                </c:pt>
              </c:numCache>
            </c:numRef>
          </c:val>
          <c:extLst>
            <c:ext xmlns:c16="http://schemas.microsoft.com/office/drawing/2014/chart" uri="{C3380CC4-5D6E-409C-BE32-E72D297353CC}">
              <c16:uniqueId val="{00000001-3617-421F-AB93-ABB2A10D2651}"/>
            </c:ext>
          </c:extLst>
        </c:ser>
        <c:dLbls>
          <c:showLegendKey val="0"/>
          <c:showVal val="0"/>
          <c:showCatName val="0"/>
          <c:showSerName val="0"/>
          <c:showPercent val="0"/>
          <c:showBubbleSize val="0"/>
        </c:dLbls>
        <c:gapWidth val="0"/>
        <c:overlap val="-27"/>
        <c:axId val="1279557456"/>
        <c:axId val="1279561776"/>
      </c:barChart>
      <c:catAx>
        <c:axId val="1279557456"/>
        <c:scaling>
          <c:orientation val="minMax"/>
        </c:scaling>
        <c:delete val="1"/>
        <c:axPos val="b"/>
        <c:numFmt formatCode="General" sourceLinked="1"/>
        <c:majorTickMark val="none"/>
        <c:minorTickMark val="none"/>
        <c:tickLblPos val="nextTo"/>
        <c:crossAx val="1279561776"/>
        <c:crosses val="autoZero"/>
        <c:auto val="1"/>
        <c:lblAlgn val="ctr"/>
        <c:lblOffset val="100"/>
        <c:noMultiLvlLbl val="0"/>
      </c:catAx>
      <c:valAx>
        <c:axId val="1279561776"/>
        <c:scaling>
          <c:orientation val="minMax"/>
          <c:max val="1"/>
          <c:min val="0"/>
        </c:scaling>
        <c:delete val="1"/>
        <c:axPos val="l"/>
        <c:numFmt formatCode="General" sourceLinked="1"/>
        <c:majorTickMark val="none"/>
        <c:minorTickMark val="none"/>
        <c:tickLblPos val="nextTo"/>
        <c:crossAx val="127955745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Insporing_rood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966C-475F-9A78-D74A71FE6A75}"/>
              </c:ext>
            </c:extLst>
          </c:dPt>
          <c:val>
            <c:numRef>
              <c:f>Graskompas!$AG$265</c:f>
              <c:numCache>
                <c:formatCode>General</c:formatCode>
                <c:ptCount val="1"/>
                <c:pt idx="0">
                  <c:v>#N/A</c:v>
                </c:pt>
              </c:numCache>
            </c:numRef>
          </c:val>
          <c:extLst>
            <c:ext xmlns:c16="http://schemas.microsoft.com/office/drawing/2014/chart" uri="{C3380CC4-5D6E-409C-BE32-E72D297353CC}">
              <c16:uniqueId val="{00000002-966C-475F-9A78-D74A71FE6A7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Insporing_Groen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8C69-4B46-AAA9-2E2FCD05CCF2}"/>
              </c:ext>
            </c:extLst>
          </c:dPt>
          <c:val>
            <c:numRef>
              <c:f>Graskompas!$AF$265</c:f>
              <c:numCache>
                <c:formatCode>General</c:formatCode>
                <c:ptCount val="1"/>
                <c:pt idx="0">
                  <c:v>#N/A</c:v>
                </c:pt>
              </c:numCache>
            </c:numRef>
          </c:val>
          <c:extLst>
            <c:ext xmlns:c16="http://schemas.microsoft.com/office/drawing/2014/chart" uri="{C3380CC4-5D6E-409C-BE32-E72D297353CC}">
              <c16:uniqueId val="{00000002-8C69-4B46-AAA9-2E2FCD05CCF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B7E6-4035-9020-1845647BDB1D}"/>
              </c:ext>
            </c:extLst>
          </c:dPt>
          <c:val>
            <c:numRef>
              <c:f>Graskompas!$AF$265</c:f>
              <c:numCache>
                <c:formatCode>General</c:formatCode>
                <c:ptCount val="1"/>
                <c:pt idx="0">
                  <c:v>#N/A</c:v>
                </c:pt>
              </c:numCache>
            </c:numRef>
          </c:val>
          <c:extLst>
            <c:ext xmlns:c15="http://schemas.microsoft.com/office/drawing/2012/chart" uri="{02D57815-91ED-43cb-92C2-25804820EDAC}">
              <c15:filteredSeriesTitle>
                <c15:tx>
                  <c:v>Insporing_Groen</c:v>
                </c15:tx>
              </c15:filteredSeriesTitle>
            </c:ext>
            <c:ext xmlns:c16="http://schemas.microsoft.com/office/drawing/2014/chart" uri="{C3380CC4-5D6E-409C-BE32-E72D297353CC}">
              <c16:uniqueId val="{00000002-B7E6-4035-9020-1845647BDB1D}"/>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Beoordeling_Groen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2455-47DE-A50E-2F837B563F59}"/>
              </c:ext>
            </c:extLst>
          </c:dPt>
          <c:val>
            <c:numRef>
              <c:f>Graskompas!$AF$252</c:f>
              <c:numCache>
                <c:formatCode>General</c:formatCode>
                <c:ptCount val="1"/>
                <c:pt idx="0">
                  <c:v>#N/A</c:v>
                </c:pt>
              </c:numCache>
            </c:numRef>
          </c:val>
          <c:extLst>
            <c:ext xmlns:c16="http://schemas.microsoft.com/office/drawing/2014/chart" uri="{C3380CC4-5D6E-409C-BE32-E72D297353CC}">
              <c16:uniqueId val="{00000002-2455-47DE-A50E-2F837B563F5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Beoordeling_Lichtgroen</c:v>
          </c:tx>
          <c:spPr>
            <a:blipFill>
              <a:blip xmlns:r="http://schemas.openxmlformats.org/officeDocument/2006/relationships" r:embed="rId3"/>
              <a:stretch>
                <a:fillRect/>
              </a:stretch>
            </a:blipFill>
            <a:ln>
              <a:noFill/>
            </a:ln>
            <a:effectLst/>
          </c:spPr>
          <c:invertIfNegative val="0"/>
          <c:val>
            <c:numRef>
              <c:f>Graskompas!$AG$252</c:f>
              <c:numCache>
                <c:formatCode>General</c:formatCode>
                <c:ptCount val="1"/>
                <c:pt idx="0">
                  <c:v>#N/A</c:v>
                </c:pt>
              </c:numCache>
            </c:numRef>
          </c:val>
          <c:extLst>
            <c:ext xmlns:c16="http://schemas.microsoft.com/office/drawing/2014/chart" uri="{C3380CC4-5D6E-409C-BE32-E72D297353CC}">
              <c16:uniqueId val="{00000002-694B-4E57-B683-CBA4DDE06A3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Beoordeling_oranje</c:v>
          </c:tx>
          <c:spPr>
            <a:blipFill>
              <a:blip xmlns:r="http://schemas.openxmlformats.org/officeDocument/2006/relationships" r:embed="rId3"/>
              <a:stretch>
                <a:fillRect/>
              </a:stretch>
            </a:blipFill>
            <a:ln>
              <a:noFill/>
            </a:ln>
            <a:effectLst/>
          </c:spPr>
          <c:invertIfNegative val="0"/>
          <c:val>
            <c:numRef>
              <c:f>Graskompas!$AH$252</c:f>
              <c:numCache>
                <c:formatCode>General</c:formatCode>
                <c:ptCount val="1"/>
                <c:pt idx="0">
                  <c:v>#N/A</c:v>
                </c:pt>
              </c:numCache>
            </c:numRef>
          </c:val>
          <c:extLst>
            <c:ext xmlns:c16="http://schemas.microsoft.com/office/drawing/2014/chart" uri="{C3380CC4-5D6E-409C-BE32-E72D297353CC}">
              <c16:uniqueId val="{00000002-6CC2-4B3F-A3B3-E0161D23A9C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499-4365-B7D4-174B4E666375}"/>
              </c:ext>
            </c:extLst>
          </c:dPt>
          <c:val>
            <c:numRef>
              <c:f>Graskompas!$AI$256</c:f>
              <c:numCache>
                <c:formatCode>General</c:formatCode>
                <c:ptCount val="1"/>
                <c:pt idx="0">
                  <c:v>#N/A</c:v>
                </c:pt>
              </c:numCache>
            </c:numRef>
          </c:val>
          <c:extLst>
            <c:ext xmlns:c16="http://schemas.microsoft.com/office/drawing/2014/chart" uri="{C3380CC4-5D6E-409C-BE32-E72D297353CC}">
              <c16:uniqueId val="{00000002-3499-4365-B7D4-174B4E66637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7F69-4834-A470-FDED3743D111}"/>
              </c:ext>
            </c:extLst>
          </c:dPt>
          <c:val>
            <c:numRef>
              <c:f>Graskompas!$AI$256</c:f>
              <c:numCache>
                <c:formatCode>General</c:formatCode>
                <c:ptCount val="1"/>
                <c:pt idx="0">
                  <c:v>#N/A</c:v>
                </c:pt>
              </c:numCache>
            </c:numRef>
          </c:val>
          <c:extLst>
            <c:ext xmlns:c16="http://schemas.microsoft.com/office/drawing/2014/chart" uri="{C3380CC4-5D6E-409C-BE32-E72D297353CC}">
              <c16:uniqueId val="{00000002-7F69-4834-A470-FDED3743D111}"/>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Beoordeling_Rood</c:v>
          </c:tx>
          <c:spPr>
            <a:blipFill>
              <a:blip xmlns:r="http://schemas.openxmlformats.org/officeDocument/2006/relationships" r:embed="rId3"/>
              <a:stretch>
                <a:fillRect/>
              </a:stretch>
            </a:blipFill>
            <a:ln>
              <a:noFill/>
            </a:ln>
            <a:effectLst/>
          </c:spPr>
          <c:invertIfNegative val="0"/>
          <c:val>
            <c:numRef>
              <c:f>Graskompas!$AI$252</c:f>
              <c:numCache>
                <c:formatCode>General</c:formatCode>
                <c:ptCount val="1"/>
                <c:pt idx="0">
                  <c:v>#N/A</c:v>
                </c:pt>
              </c:numCache>
            </c:numRef>
          </c:val>
          <c:extLst>
            <c:ext xmlns:c16="http://schemas.microsoft.com/office/drawing/2014/chart" uri="{C3380CC4-5D6E-409C-BE32-E72D297353CC}">
              <c16:uniqueId val="{00000002-B6CB-4F04-BD09-0B7858D031F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Doorzaai</c:v>
          </c:tx>
          <c:spPr>
            <a:blipFill>
              <a:blip xmlns:r="http://schemas.openxmlformats.org/officeDocument/2006/relationships" r:embed="rId3"/>
              <a:stretch>
                <a:fillRect/>
              </a:stretch>
            </a:blipFill>
            <a:ln>
              <a:noFill/>
            </a:ln>
            <a:effectLst/>
          </c:spPr>
          <c:invertIfNegative val="0"/>
          <c:val>
            <c:numRef>
              <c:f>Graskompas!$AF$259</c:f>
              <c:numCache>
                <c:formatCode>General</c:formatCode>
                <c:ptCount val="1"/>
                <c:pt idx="0">
                  <c:v>#N/A</c:v>
                </c:pt>
              </c:numCache>
            </c:numRef>
          </c:val>
          <c:extLst>
            <c:ext xmlns:c16="http://schemas.microsoft.com/office/drawing/2014/chart" uri="{C3380CC4-5D6E-409C-BE32-E72D297353CC}">
              <c16:uniqueId val="{00000006-AB0E-4C96-9531-BC80D7BBC062}"/>
            </c:ext>
          </c:extLst>
        </c:ser>
        <c:dLbls>
          <c:showLegendKey val="0"/>
          <c:showVal val="0"/>
          <c:showCatName val="0"/>
          <c:showSerName val="0"/>
          <c:showPercent val="0"/>
          <c:showBubbleSize val="0"/>
        </c:dLbls>
        <c:gapWidth val="0"/>
        <c:axId val="1279527696"/>
        <c:axId val="1279541616"/>
      </c:barChart>
      <c:catAx>
        <c:axId val="1279527696"/>
        <c:scaling>
          <c:orientation val="minMax"/>
        </c:scaling>
        <c:delete val="1"/>
        <c:axPos val="b"/>
        <c:numFmt formatCode="General" sourceLinked="1"/>
        <c:majorTickMark val="none"/>
        <c:minorTickMark val="none"/>
        <c:tickLblPos val="nextTo"/>
        <c:crossAx val="1279541616"/>
        <c:crosses val="autoZero"/>
        <c:auto val="1"/>
        <c:lblAlgn val="ctr"/>
        <c:lblOffset val="100"/>
        <c:noMultiLvlLbl val="0"/>
      </c:catAx>
      <c:valAx>
        <c:axId val="1279541616"/>
        <c:scaling>
          <c:orientation val="minMax"/>
          <c:max val="1"/>
          <c:min val="0"/>
        </c:scaling>
        <c:delete val="1"/>
        <c:axPos val="l"/>
        <c:numFmt formatCode="General" sourceLinked="1"/>
        <c:majorTickMark val="none"/>
        <c:minorTickMark val="none"/>
        <c:tickLblPos val="nextTo"/>
        <c:crossAx val="12795276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Onkruid_plek</c:v>
          </c:tx>
          <c:spPr>
            <a:blipFill>
              <a:blip xmlns:r="http://schemas.openxmlformats.org/officeDocument/2006/relationships" r:embed="rId3"/>
              <a:stretch>
                <a:fillRect/>
              </a:stretch>
            </a:blipFill>
            <a:ln>
              <a:noFill/>
            </a:ln>
            <a:effectLst/>
          </c:spPr>
          <c:invertIfNegative val="0"/>
          <c:val>
            <c:numRef>
              <c:f>Graskompas!$AG$259</c:f>
              <c:numCache>
                <c:formatCode>General</c:formatCode>
                <c:ptCount val="1"/>
                <c:pt idx="0">
                  <c:v>#N/A</c:v>
                </c:pt>
              </c:numCache>
            </c:numRef>
          </c:val>
          <c:extLst>
            <c:ext xmlns:c16="http://schemas.microsoft.com/office/drawing/2014/chart" uri="{C3380CC4-5D6E-409C-BE32-E72D297353CC}">
              <c16:uniqueId val="{00000000-9DC8-47AC-B655-DFBEA7E97CFF}"/>
            </c:ext>
          </c:extLst>
        </c:ser>
        <c:dLbls>
          <c:showLegendKey val="0"/>
          <c:showVal val="0"/>
          <c:showCatName val="0"/>
          <c:showSerName val="0"/>
          <c:showPercent val="0"/>
          <c:showBubbleSize val="0"/>
        </c:dLbls>
        <c:gapWidth val="0"/>
        <c:axId val="1279527696"/>
        <c:axId val="1279541616"/>
      </c:barChart>
      <c:catAx>
        <c:axId val="1279527696"/>
        <c:scaling>
          <c:orientation val="minMax"/>
        </c:scaling>
        <c:delete val="1"/>
        <c:axPos val="b"/>
        <c:numFmt formatCode="General" sourceLinked="1"/>
        <c:majorTickMark val="none"/>
        <c:minorTickMark val="none"/>
        <c:tickLblPos val="nextTo"/>
        <c:crossAx val="1279541616"/>
        <c:crosses val="autoZero"/>
        <c:auto val="1"/>
        <c:lblAlgn val="ctr"/>
        <c:lblOffset val="100"/>
        <c:noMultiLvlLbl val="0"/>
      </c:catAx>
      <c:valAx>
        <c:axId val="1279541616"/>
        <c:scaling>
          <c:orientation val="minMax"/>
          <c:max val="1"/>
          <c:min val="0"/>
        </c:scaling>
        <c:delete val="1"/>
        <c:axPos val="l"/>
        <c:numFmt formatCode="General" sourceLinked="1"/>
        <c:majorTickMark val="none"/>
        <c:minorTickMark val="none"/>
        <c:tickLblPos val="nextTo"/>
        <c:crossAx val="12795276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CED9-4113-BE39-B4855732E909}"/>
              </c:ext>
            </c:extLst>
          </c:dPt>
          <c:val>
            <c:numRef>
              <c:f>Graskompas!$AI$256</c:f>
              <c:numCache>
                <c:formatCode>General</c:formatCode>
                <c:ptCount val="1"/>
                <c:pt idx="0">
                  <c:v>#N/A</c:v>
                </c:pt>
              </c:numCache>
            </c:numRef>
          </c:val>
          <c:extLst>
            <c:ext xmlns:c16="http://schemas.microsoft.com/office/drawing/2014/chart" uri="{C3380CC4-5D6E-409C-BE32-E72D297353CC}">
              <c16:uniqueId val="{00000000-CED9-4113-BE39-B4855732E90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DAA2-48F4-955D-9CDEF2E8616C}"/>
              </c:ext>
            </c:extLst>
          </c:dPt>
          <c:val>
            <c:numRef>
              <c:f>Graskompas!$AI$256</c:f>
              <c:numCache>
                <c:formatCode>General</c:formatCode>
                <c:ptCount val="1"/>
                <c:pt idx="0">
                  <c:v>#N/A</c:v>
                </c:pt>
              </c:numCache>
            </c:numRef>
          </c:val>
          <c:extLst>
            <c:ext xmlns:c16="http://schemas.microsoft.com/office/drawing/2014/chart" uri="{C3380CC4-5D6E-409C-BE32-E72D297353CC}">
              <c16:uniqueId val="{00000002-DAA2-48F4-955D-9CDEF2E8616C}"/>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1D9-4BC4-9E4F-66AF6D318588}"/>
              </c:ext>
            </c:extLst>
          </c:dPt>
          <c:val>
            <c:numRef>
              <c:f>Graskompas!$AI$256</c:f>
              <c:numCache>
                <c:formatCode>General</c:formatCode>
                <c:ptCount val="1"/>
                <c:pt idx="0">
                  <c:v>#N/A</c:v>
                </c:pt>
              </c:numCache>
            </c:numRef>
          </c:val>
          <c:extLst>
            <c:ext xmlns:c16="http://schemas.microsoft.com/office/drawing/2014/chart" uri="{C3380CC4-5D6E-409C-BE32-E72D297353CC}">
              <c16:uniqueId val="{00000002-31D9-4BC4-9E4F-66AF6D318588}"/>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CF26-4328-9EF9-A21D07848DF8}"/>
              </c:ext>
            </c:extLst>
          </c:dPt>
          <c:val>
            <c:numRef>
              <c:f>Graskompas!$AI$256</c:f>
              <c:numCache>
                <c:formatCode>General</c:formatCode>
                <c:ptCount val="1"/>
                <c:pt idx="0">
                  <c:v>#N/A</c:v>
                </c:pt>
              </c:numCache>
            </c:numRef>
          </c:val>
          <c:extLst>
            <c:ext xmlns:c16="http://schemas.microsoft.com/office/drawing/2014/chart" uri="{C3380CC4-5D6E-409C-BE32-E72D297353CC}">
              <c16:uniqueId val="{00000002-CF26-4328-9EF9-A21D07848DF8}"/>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4F7-4401-8FC5-CF81ED4A2545}"/>
              </c:ext>
            </c:extLst>
          </c:dPt>
          <c:val>
            <c:numRef>
              <c:f>Graskompas!$AI$256</c:f>
              <c:numCache>
                <c:formatCode>General</c:formatCode>
                <c:ptCount val="1"/>
                <c:pt idx="0">
                  <c:v>#N/A</c:v>
                </c:pt>
              </c:numCache>
            </c:numRef>
          </c:val>
          <c:extLst>
            <c:ext xmlns:c16="http://schemas.microsoft.com/office/drawing/2014/chart" uri="{C3380CC4-5D6E-409C-BE32-E72D297353CC}">
              <c16:uniqueId val="{00000002-A4F7-4401-8FC5-CF81ED4A254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E63-4DE2-9A79-F0D6612B7FF5}"/>
              </c:ext>
            </c:extLst>
          </c:dPt>
          <c:val>
            <c:numRef>
              <c:f>Graskompas!$AI$256</c:f>
              <c:numCache>
                <c:formatCode>General</c:formatCode>
                <c:ptCount val="1"/>
                <c:pt idx="0">
                  <c:v>#N/A</c:v>
                </c:pt>
              </c:numCache>
            </c:numRef>
          </c:val>
          <c:extLst>
            <c:ext xmlns:c16="http://schemas.microsoft.com/office/drawing/2014/chart" uri="{C3380CC4-5D6E-409C-BE32-E72D297353CC}">
              <c16:uniqueId val="{00000002-3E63-4DE2-9A79-F0D6612B7FF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7C0-40F3-A80B-186AAE40ABC0}"/>
              </c:ext>
            </c:extLst>
          </c:dPt>
          <c:val>
            <c:numRef>
              <c:f>Graskompas!$AI$256</c:f>
              <c:numCache>
                <c:formatCode>General</c:formatCode>
                <c:ptCount val="1"/>
                <c:pt idx="0">
                  <c:v>#N/A</c:v>
                </c:pt>
              </c:numCache>
            </c:numRef>
          </c:val>
          <c:extLst>
            <c:ext xmlns:c16="http://schemas.microsoft.com/office/drawing/2014/chart" uri="{C3380CC4-5D6E-409C-BE32-E72D297353CC}">
              <c16:uniqueId val="{00000002-37C0-40F3-A80B-186AAE40ABC0}"/>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0D08-48A6-A29D-D7706DE3C11F}"/>
              </c:ext>
            </c:extLst>
          </c:dPt>
          <c:val>
            <c:numRef>
              <c:f>Graskompas!$AI$256</c:f>
              <c:numCache>
                <c:formatCode>General</c:formatCode>
                <c:ptCount val="1"/>
                <c:pt idx="0">
                  <c:v>#N/A</c:v>
                </c:pt>
              </c:numCache>
            </c:numRef>
          </c:val>
          <c:extLst>
            <c:ext xmlns:c16="http://schemas.microsoft.com/office/drawing/2014/chart" uri="{C3380CC4-5D6E-409C-BE32-E72D297353CC}">
              <c16:uniqueId val="{00000002-0D08-48A6-A29D-D7706DE3C11F}"/>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35D0-43A4-9A67-9F081B3E0346}"/>
              </c:ext>
            </c:extLst>
          </c:dPt>
          <c:val>
            <c:numRef>
              <c:f>Graskompas!$AI$256</c:f>
              <c:numCache>
                <c:formatCode>General</c:formatCode>
                <c:ptCount val="1"/>
                <c:pt idx="0">
                  <c:v>#N/A</c:v>
                </c:pt>
              </c:numCache>
            </c:numRef>
          </c:val>
          <c:extLst>
            <c:ext xmlns:c16="http://schemas.microsoft.com/office/drawing/2014/chart" uri="{C3380CC4-5D6E-409C-BE32-E72D297353CC}">
              <c16:uniqueId val="{00000002-35D0-43A4-9A67-9F081B3E034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819E-48B5-B281-F8296780AA49}"/>
              </c:ext>
            </c:extLst>
          </c:dPt>
          <c:val>
            <c:numRef>
              <c:f>Graskompas!$AI$256</c:f>
              <c:numCache>
                <c:formatCode>General</c:formatCode>
                <c:ptCount val="1"/>
                <c:pt idx="0">
                  <c:v>#N/A</c:v>
                </c:pt>
              </c:numCache>
            </c:numRef>
          </c:val>
          <c:extLst>
            <c:ext xmlns:c16="http://schemas.microsoft.com/office/drawing/2014/chart" uri="{C3380CC4-5D6E-409C-BE32-E72D297353CC}">
              <c16:uniqueId val="{00000002-819E-48B5-B281-F8296780AA4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578-40B9-B789-77EE202E4436}"/>
              </c:ext>
            </c:extLst>
          </c:dPt>
          <c:val>
            <c:numRef>
              <c:f>Graskompas!$AI$256</c:f>
              <c:numCache>
                <c:formatCode>General</c:formatCode>
                <c:ptCount val="1"/>
                <c:pt idx="0">
                  <c:v>#N/A</c:v>
                </c:pt>
              </c:numCache>
            </c:numRef>
          </c:val>
          <c:extLst>
            <c:ext xmlns:c16="http://schemas.microsoft.com/office/drawing/2014/chart" uri="{C3380CC4-5D6E-409C-BE32-E72D297353CC}">
              <c16:uniqueId val="{00000002-4578-40B9-B789-77EE202E4436}"/>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Onkruid_Rood</c:v>
          </c:tx>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72D5-412C-A8F4-D89261F3304B}"/>
              </c:ext>
            </c:extLst>
          </c:dPt>
          <c:val>
            <c:numRef>
              <c:f>Graskompas!$AI$256</c:f>
              <c:numCache>
                <c:formatCode>General</c:formatCode>
                <c:ptCount val="1"/>
                <c:pt idx="0">
                  <c:v>#N/A</c:v>
                </c:pt>
              </c:numCache>
            </c:numRef>
          </c:val>
          <c:extLst>
            <c:ext xmlns:c16="http://schemas.microsoft.com/office/drawing/2014/chart" uri="{C3380CC4-5D6E-409C-BE32-E72D297353CC}">
              <c16:uniqueId val="{00000002-72D5-412C-A8F4-D89261F3304B}"/>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2-6D79-46A0-BCD2-1183D0B900F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2-0472-4EFE-990A-88C8885BCF4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2-934D-448F-89B9-177C7408F64B}"/>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2-561F-4B6F-8CA7-55F62CE0E91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2-4638-474F-B161-DCEE3B4BC0B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0-E370-4E70-B92E-CE1F645BE758}"/>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Onkruid_Oranje</c:v>
          </c:tx>
          <c:spPr>
            <a:blipFill>
              <a:blip xmlns:r="http://schemas.openxmlformats.org/officeDocument/2006/relationships" r:embed="rId3"/>
              <a:stretch>
                <a:fillRect/>
              </a:stretch>
            </a:blipFill>
            <a:ln>
              <a:noFill/>
            </a:ln>
            <a:effectLst/>
          </c:spPr>
          <c:invertIfNegative val="0"/>
          <c:val>
            <c:numRef>
              <c:f>Graskompas!$AH$256</c:f>
              <c:numCache>
                <c:formatCode>General</c:formatCode>
                <c:ptCount val="1"/>
                <c:pt idx="0">
                  <c:v>#N/A</c:v>
                </c:pt>
              </c:numCache>
            </c:numRef>
          </c:val>
          <c:extLst>
            <c:ext xmlns:c16="http://schemas.microsoft.com/office/drawing/2014/chart" uri="{C3380CC4-5D6E-409C-BE32-E72D297353CC}">
              <c16:uniqueId val="{00000002-4092-4796-A807-F9CCC3A6E537}"/>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Onkruid_Lichtgroen</c:v>
          </c:tx>
          <c:spPr>
            <a:blipFill>
              <a:blip xmlns:r="http://schemas.openxmlformats.org/officeDocument/2006/relationships" r:embed="rId3"/>
              <a:stretch>
                <a:fillRect/>
              </a:stretch>
            </a:blipFill>
            <a:ln>
              <a:noFill/>
            </a:ln>
            <a:effectLst/>
          </c:spPr>
          <c:invertIfNegative val="0"/>
          <c:val>
            <c:numRef>
              <c:f>Graskompas!$AG$256</c:f>
              <c:numCache>
                <c:formatCode>General</c:formatCode>
                <c:ptCount val="1"/>
                <c:pt idx="0">
                  <c:v>#N/A</c:v>
                </c:pt>
              </c:numCache>
            </c:numRef>
          </c:val>
          <c:extLst>
            <c:ext xmlns:c16="http://schemas.microsoft.com/office/drawing/2014/chart" uri="{C3380CC4-5D6E-409C-BE32-E72D297353CC}">
              <c16:uniqueId val="{00000002-3B79-4216-9695-DFE3C1361751}"/>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Onkruid_Lichtgroen</c:v>
          </c:tx>
          <c:spPr>
            <a:blipFill>
              <a:blip xmlns:r="http://schemas.openxmlformats.org/officeDocument/2006/relationships" r:embed="rId3"/>
              <a:stretch>
                <a:fillRect/>
              </a:stretch>
            </a:blipFill>
            <a:ln>
              <a:noFill/>
            </a:ln>
            <a:effectLst/>
          </c:spPr>
          <c:invertIfNegative val="0"/>
          <c:val>
            <c:numRef>
              <c:f>Graskompas!$AG$258</c:f>
              <c:numCache>
                <c:formatCode>General</c:formatCode>
                <c:ptCount val="1"/>
                <c:pt idx="0">
                  <c:v>#N/A</c:v>
                </c:pt>
              </c:numCache>
            </c:numRef>
          </c:val>
          <c:extLst>
            <c:ext xmlns:c16="http://schemas.microsoft.com/office/drawing/2014/chart" uri="{C3380CC4-5D6E-409C-BE32-E72D297353CC}">
              <c16:uniqueId val="{00000000-15E1-45AE-A7D6-1C58726818F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Onkruid_Lichtgroen</c:v>
          </c:tx>
          <c:spPr>
            <a:blipFill>
              <a:blip xmlns:r="http://schemas.openxmlformats.org/officeDocument/2006/relationships" r:embed="rId3"/>
              <a:stretch>
                <a:fillRect/>
              </a:stretch>
            </a:blipFill>
            <a:ln>
              <a:noFill/>
            </a:ln>
            <a:effectLst/>
          </c:spPr>
          <c:invertIfNegative val="0"/>
          <c:val>
            <c:numRef>
              <c:f>Graskompas!$AG$258</c:f>
              <c:numCache>
                <c:formatCode>General</c:formatCode>
                <c:ptCount val="1"/>
                <c:pt idx="0">
                  <c:v>#N/A</c:v>
                </c:pt>
              </c:numCache>
            </c:numRef>
          </c:val>
          <c:extLst>
            <c:ext xmlns:c16="http://schemas.microsoft.com/office/drawing/2014/chart" uri="{C3380CC4-5D6E-409C-BE32-E72D297353CC}">
              <c16:uniqueId val="{00000000-EB38-4FAF-A90B-5FEF71B3DD67}"/>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Onkruid_groen</c:v>
          </c:tx>
          <c:spPr>
            <a:blipFill>
              <a:blip xmlns:r="http://schemas.openxmlformats.org/officeDocument/2006/relationships" r:embed="rId3"/>
              <a:stretch>
                <a:fillRect/>
              </a:stretch>
            </a:blipFill>
            <a:ln>
              <a:noFill/>
            </a:ln>
            <a:effectLst/>
          </c:spPr>
          <c:invertIfNegative val="0"/>
          <c:val>
            <c:numRef>
              <c:f>Graskompas!$AF$256</c:f>
              <c:numCache>
                <c:formatCode>General</c:formatCode>
                <c:ptCount val="1"/>
                <c:pt idx="0">
                  <c:v>#N/A</c:v>
                </c:pt>
              </c:numCache>
            </c:numRef>
          </c:val>
          <c:extLst>
            <c:ext xmlns:c16="http://schemas.microsoft.com/office/drawing/2014/chart" uri="{C3380CC4-5D6E-409C-BE32-E72D297353CC}">
              <c16:uniqueId val="{00000000-2FB7-46D2-8C9B-A70E59922A6E}"/>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Onkruid_groen</c:v>
          </c:tx>
          <c:spPr>
            <a:blipFill>
              <a:blip xmlns:r="http://schemas.openxmlformats.org/officeDocument/2006/relationships" r:embed="rId3"/>
              <a:stretch>
                <a:fillRect/>
              </a:stretch>
            </a:blipFill>
            <a:ln>
              <a:noFill/>
            </a:ln>
            <a:effectLst/>
          </c:spPr>
          <c:invertIfNegative val="0"/>
          <c:val>
            <c:numRef>
              <c:f>Graskompas!$AF$256</c:f>
              <c:numCache>
                <c:formatCode>General</c:formatCode>
                <c:ptCount val="1"/>
                <c:pt idx="0">
                  <c:v>#N/A</c:v>
                </c:pt>
              </c:numCache>
            </c:numRef>
          </c:val>
          <c:extLst>
            <c:ext xmlns:c16="http://schemas.microsoft.com/office/drawing/2014/chart" uri="{C3380CC4-5D6E-409C-BE32-E72D297353CC}">
              <c16:uniqueId val="{00000000-FB57-41D2-BC2B-C3A1F54A8DD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Beregening_Groen</c:v>
          </c:tx>
          <c:spPr>
            <a:blipFill>
              <a:blip xmlns:r="http://schemas.openxmlformats.org/officeDocument/2006/relationships" r:embed="rId3"/>
              <a:stretch>
                <a:fillRect/>
              </a:stretch>
            </a:blipFill>
            <a:ln>
              <a:noFill/>
            </a:ln>
            <a:effectLst/>
          </c:spPr>
          <c:invertIfNegative val="0"/>
          <c:val>
            <c:numRef>
              <c:f>Graskompas!$AF$293</c:f>
              <c:numCache>
                <c:formatCode>General</c:formatCode>
                <c:ptCount val="1"/>
                <c:pt idx="0">
                  <c:v>0</c:v>
                </c:pt>
              </c:numCache>
            </c:numRef>
          </c:val>
          <c:extLst>
            <c:ext xmlns:c16="http://schemas.microsoft.com/office/drawing/2014/chart" uri="{C3380CC4-5D6E-409C-BE32-E72D297353CC}">
              <c16:uniqueId val="{00000002-F19D-43AC-889A-F2DCFE01C849}"/>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Beregening_Rood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16D3-429A-8FD7-530C934B4B10}"/>
              </c:ext>
            </c:extLst>
          </c:dPt>
          <c:val>
            <c:numRef>
              <c:f>Graskompas!$AG$293</c:f>
              <c:numCache>
                <c:formatCode>General</c:formatCode>
                <c:ptCount val="1"/>
                <c:pt idx="0">
                  <c:v>1</c:v>
                </c:pt>
              </c:numCache>
            </c:numRef>
          </c:val>
          <c:extLst>
            <c:ext xmlns:c16="http://schemas.microsoft.com/office/drawing/2014/chart" uri="{C3380CC4-5D6E-409C-BE32-E72D297353CC}">
              <c16:uniqueId val="{00000000-16D3-429A-8FD7-530C934B4B10}"/>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Zaadkeuze_Rood</c:v>
          </c:tx>
          <c:spPr>
            <a:blipFill>
              <a:blip xmlns:r="http://schemas.openxmlformats.org/officeDocument/2006/relationships" r:embed="rId3"/>
              <a:stretch>
                <a:fillRect/>
              </a:stretch>
            </a:blipFill>
            <a:ln>
              <a:noFill/>
            </a:ln>
            <a:effectLst/>
          </c:spPr>
          <c:invertIfNegative val="0"/>
          <c:val>
            <c:numRef>
              <c:f>Graskompas!$AG$299</c:f>
              <c:numCache>
                <c:formatCode>General</c:formatCode>
                <c:ptCount val="1"/>
                <c:pt idx="0">
                  <c:v>#N/A</c:v>
                </c:pt>
              </c:numCache>
            </c:numRef>
          </c:val>
          <c:extLst>
            <c:ext xmlns:c16="http://schemas.microsoft.com/office/drawing/2014/chart" uri="{C3380CC4-5D6E-409C-BE32-E72D297353CC}">
              <c16:uniqueId val="{00000002-7DCB-4EA4-97DF-BDF706993102}"/>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Zaadkeuze_Groen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843-4366-A1A7-D5DB6092BCD3}"/>
              </c:ext>
            </c:extLst>
          </c:dPt>
          <c:val>
            <c:numRef>
              <c:f>Graskompas!$AF$299</c:f>
              <c:numCache>
                <c:formatCode>General</c:formatCode>
                <c:ptCount val="1"/>
                <c:pt idx="0">
                  <c:v>#N/A</c:v>
                </c:pt>
              </c:numCache>
            </c:numRef>
          </c:val>
          <c:extLst>
            <c:ext xmlns:c16="http://schemas.microsoft.com/office/drawing/2014/chart" uri="{C3380CC4-5D6E-409C-BE32-E72D297353CC}">
              <c16:uniqueId val="{00000000-4843-4366-A1A7-D5DB6092BCD3}"/>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Peilsturing_Rood</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5A87-4CC9-B9E9-136B6A2C35CA}"/>
              </c:ext>
            </c:extLst>
          </c:dPt>
          <c:val>
            <c:numRef>
              <c:f>Graskompas!$AH$295</c:f>
              <c:numCache>
                <c:formatCode>General</c:formatCode>
                <c:ptCount val="1"/>
                <c:pt idx="0">
                  <c:v>#N/A</c:v>
                </c:pt>
              </c:numCache>
            </c:numRef>
          </c:val>
          <c:extLst>
            <c:ext xmlns:c16="http://schemas.microsoft.com/office/drawing/2014/chart" uri="{C3380CC4-5D6E-409C-BE32-E72D297353CC}">
              <c16:uniqueId val="{00000002-5A87-4CC9-B9E9-136B6A2C35CA}"/>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Peilsturing_Groen</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A782-49BC-ACB7-AD8B4204E635}"/>
              </c:ext>
            </c:extLst>
          </c:dPt>
          <c:val>
            <c:numRef>
              <c:f>Graskompas!$AF$295</c:f>
              <c:numCache>
                <c:formatCode>General</c:formatCode>
                <c:ptCount val="1"/>
                <c:pt idx="0">
                  <c:v>#N/A</c:v>
                </c:pt>
              </c:numCache>
            </c:numRef>
          </c:val>
          <c:extLst>
            <c:ext xmlns:c16="http://schemas.microsoft.com/office/drawing/2014/chart" uri="{C3380CC4-5D6E-409C-BE32-E72D297353CC}">
              <c16:uniqueId val="{00000002-A782-49BC-ACB7-AD8B4204E635}"/>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Peilsturing_Oranje</c:v>
          </c:tx>
          <c:spPr>
            <a:solidFill>
              <a:schemeClr val="accent1"/>
            </a:solid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extLst>
              <c:ext xmlns:c16="http://schemas.microsoft.com/office/drawing/2014/chart" uri="{C3380CC4-5D6E-409C-BE32-E72D297353CC}">
                <c16:uniqueId val="{00000001-4C52-4BA0-83DF-7096A1668F34}"/>
              </c:ext>
            </c:extLst>
          </c:dPt>
          <c:val>
            <c:numRef>
              <c:f>Graskompas!$AG$295</c:f>
              <c:numCache>
                <c:formatCode>General</c:formatCode>
                <c:ptCount val="1"/>
                <c:pt idx="0">
                  <c:v>#N/A</c:v>
                </c:pt>
              </c:numCache>
            </c:numRef>
          </c:val>
          <c:extLst>
            <c:ext xmlns:c16="http://schemas.microsoft.com/office/drawing/2014/chart" uri="{C3380CC4-5D6E-409C-BE32-E72D297353CC}">
              <c16:uniqueId val="{00000002-4C52-4BA0-83DF-7096A1668F34}"/>
            </c:ext>
          </c:extLst>
        </c:ser>
        <c:dLbls>
          <c:showLegendKey val="0"/>
          <c:showVal val="0"/>
          <c:showCatName val="0"/>
          <c:showSerName val="0"/>
          <c:showPercent val="0"/>
          <c:showBubbleSize val="0"/>
        </c:dLbls>
        <c:gapWidth val="0"/>
        <c:overlap val="-27"/>
        <c:axId val="930501615"/>
        <c:axId val="946156751"/>
      </c:barChart>
      <c:catAx>
        <c:axId val="930501615"/>
        <c:scaling>
          <c:orientation val="minMax"/>
        </c:scaling>
        <c:delete val="1"/>
        <c:axPos val="b"/>
        <c:numFmt formatCode="General" sourceLinked="1"/>
        <c:majorTickMark val="none"/>
        <c:minorTickMark val="none"/>
        <c:tickLblPos val="nextTo"/>
        <c:crossAx val="946156751"/>
        <c:crosses val="autoZero"/>
        <c:auto val="1"/>
        <c:lblAlgn val="ctr"/>
        <c:lblOffset val="100"/>
        <c:noMultiLvlLbl val="0"/>
      </c:catAx>
      <c:valAx>
        <c:axId val="946156751"/>
        <c:scaling>
          <c:orientation val="minMax"/>
          <c:max val="1"/>
          <c:min val="0"/>
        </c:scaling>
        <c:delete val="1"/>
        <c:axPos val="l"/>
        <c:numFmt formatCode="General" sourceLinked="1"/>
        <c:majorTickMark val="none"/>
        <c:minorTickMark val="none"/>
        <c:tickLblPos val="nextTo"/>
        <c:crossAx val="9305016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nl-B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 dir="row">_xlchart.v1.0</cx:f>
      </cx:strDim>
      <cx:numDim type="size">
        <cx:f dir="row">_xlchart.v1.1</cx:f>
      </cx:numDim>
    </cx:data>
  </cx:chartData>
  <cx:chart>
    <cx:plotArea>
      <cx:plotAreaRegion>
        <cx:series layoutId="sunburst" uniqueId="{88C4529E-E852-4447-9CC0-47E16418890F}" formatIdx="0">
          <cx:spPr>
            <a:ln>
              <a:noFill/>
            </a:ln>
          </cx:spPr>
          <cx:dataPt idx="0">
            <cx:spPr>
              <a:solidFill>
                <a:srgbClr val="00CC00">
                  <a:alpha val="25098"/>
                </a:srgbClr>
              </a:solidFill>
            </cx:spPr>
          </cx:dataPt>
          <cx:dataPt idx="1">
            <cx:spPr>
              <a:solidFill>
                <a:srgbClr val="669900">
                  <a:alpha val="24706"/>
                </a:srgbClr>
              </a:solidFill>
            </cx:spPr>
          </cx:dataPt>
          <cx:dataPt idx="2">
            <cx:spPr>
              <a:solidFill>
                <a:srgbClr val="006600">
                  <a:alpha val="25098"/>
                </a:srgbClr>
              </a:solidFill>
            </cx:spPr>
          </cx:dataPt>
          <cx:dataPt idx="3">
            <cx:spPr>
              <a:solidFill>
                <a:srgbClr val="00CCFF">
                  <a:alpha val="25098"/>
                </a:srgbClr>
              </a:solidFill>
            </cx:spPr>
          </cx:dataPt>
          <cx:dataPt idx="4">
            <cx:spPr>
              <a:solidFill>
                <a:srgbClr val="990099">
                  <a:alpha val="25098"/>
                </a:srgbClr>
              </a:solidFill>
            </cx:spPr>
          </cx:dataPt>
          <cx:dataPt idx="5">
            <cx:spPr>
              <a:solidFill>
                <a:srgbClr val="E97132">
                  <a:lumMod val="50000"/>
                  <a:alpha val="25098"/>
                </a:srgbClr>
              </a:solidFill>
            </cx:spPr>
          </cx:dataPt>
          <cx:dataLabels pos="ctr">
            <cx:txPr>
              <a:bodyPr spcFirstLastPara="1" vertOverflow="ellipsis" horzOverflow="overflow" wrap="square" lIns="0" tIns="0" rIns="0" bIns="0" anchor="ctr" anchorCtr="1"/>
              <a:lstStyle/>
              <a:p>
                <a:pPr algn="ctr" rtl="0">
                  <a:defRPr sz="1800" baseline="0">
                    <a:solidFill>
                      <a:schemeClr val="bg1"/>
                    </a:solidFill>
                  </a:defRPr>
                </a:pPr>
                <a:endParaRPr lang="nl-NL" sz="1800" b="0" i="0" u="none" strike="noStrike" baseline="0">
                  <a:solidFill>
                    <a:schemeClr val="bg1"/>
                  </a:solidFill>
                  <a:latin typeface="Aptos Narrow" panose="02110004020202020204"/>
                </a:endParaRPr>
              </a:p>
            </cx:txPr>
            <cx:visibility seriesName="0" categoryName="1" value="1"/>
            <cx:separator>, </cx:separator>
          </cx:dataLabels>
          <cx:dataId val="0"/>
        </cx:series>
      </cx:plotAreaRegion>
    </cx:plotArea>
  </cx:chart>
  <cx:spPr>
    <a:noFill/>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Kwaliteit graskuil'!B2"/><Relationship Id="rId3" Type="http://schemas.openxmlformats.org/officeDocument/2006/relationships/hyperlink" Target="#Graskompas!A1"/><Relationship Id="rId7" Type="http://schemas.openxmlformats.org/officeDocument/2006/relationships/hyperlink" Target="#Weidegang!B2"/><Relationship Id="rId2" Type="http://schemas.openxmlformats.org/officeDocument/2006/relationships/hyperlink" Target="#Zaai!B2"/><Relationship Id="rId1" Type="http://schemas.openxmlformats.org/officeDocument/2006/relationships/hyperlink" Target="#Algemeen!B2"/><Relationship Id="rId6" Type="http://schemas.openxmlformats.org/officeDocument/2006/relationships/hyperlink" Target="#Oogst!B2"/><Relationship Id="rId11" Type="http://schemas.openxmlformats.org/officeDocument/2006/relationships/image" Target="../media/image1.png"/><Relationship Id="rId5" Type="http://schemas.openxmlformats.org/officeDocument/2006/relationships/hyperlink" Target="#Nutri&#235;ntenbeheer!B2"/><Relationship Id="rId10" Type="http://schemas.openxmlformats.org/officeDocument/2006/relationships/hyperlink" Target="#Waterhuishouding!B2"/><Relationship Id="rId4" Type="http://schemas.openxmlformats.org/officeDocument/2006/relationships/hyperlink" Target="#Graslandonderhoud!B2"/><Relationship Id="rId9" Type="http://schemas.openxmlformats.org/officeDocument/2006/relationships/hyperlink" Target="#'In-uitkuilen'!B2"/></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andleiding!A1"/><Relationship Id="rId1" Type="http://schemas.openxmlformats.org/officeDocument/2006/relationships/hyperlink" Target="#Zaai!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utri&#235;ntenbeheer!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Oogst!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Weidegang!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Kwaliteit graskuil'!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uitkuilen'!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Graslandonderhoud!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Waterhuishouding!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Graskompas!A1"/></Relationships>
</file>

<file path=xl/drawings/_rels/drawing11.xml.rels><?xml version="1.0" encoding="UTF-8" standalone="yes"?>
<Relationships xmlns="http://schemas.openxmlformats.org/package/2006/relationships"><Relationship Id="rId117" Type="http://schemas.openxmlformats.org/officeDocument/2006/relationships/chart" Target="../charts/chart83.xml"/><Relationship Id="rId21" Type="http://schemas.openxmlformats.org/officeDocument/2006/relationships/chart" Target="../charts/chart15.xml"/><Relationship Id="rId42" Type="http://schemas.openxmlformats.org/officeDocument/2006/relationships/chart" Target="../charts/chart25.xml"/><Relationship Id="rId63" Type="http://schemas.openxmlformats.org/officeDocument/2006/relationships/chart" Target="../charts/chart41.xml"/><Relationship Id="rId84" Type="http://schemas.openxmlformats.org/officeDocument/2006/relationships/chart" Target="../charts/chart60.xml"/><Relationship Id="rId138" Type="http://schemas.microsoft.com/office/2007/relationships/hdphoto" Target="../media/hdphoto9.wdp"/><Relationship Id="rId159" Type="http://schemas.openxmlformats.org/officeDocument/2006/relationships/chart" Target="../charts/chart118.xml"/><Relationship Id="rId170" Type="http://schemas.openxmlformats.org/officeDocument/2006/relationships/chart" Target="../charts/chart129.xml"/><Relationship Id="rId191" Type="http://schemas.openxmlformats.org/officeDocument/2006/relationships/hyperlink" Target="#Handleiding!A1"/><Relationship Id="rId107" Type="http://schemas.openxmlformats.org/officeDocument/2006/relationships/image" Target="../media/image50.svg"/><Relationship Id="rId11" Type="http://schemas.openxmlformats.org/officeDocument/2006/relationships/chart" Target="../charts/chart8.xml"/><Relationship Id="rId32" Type="http://schemas.openxmlformats.org/officeDocument/2006/relationships/hyperlink" Target="#Graskompas!A96"/><Relationship Id="rId53" Type="http://schemas.openxmlformats.org/officeDocument/2006/relationships/chart" Target="../charts/chart35.xml"/><Relationship Id="rId74" Type="http://schemas.openxmlformats.org/officeDocument/2006/relationships/chart" Target="../charts/chart52.xml"/><Relationship Id="rId128" Type="http://schemas.openxmlformats.org/officeDocument/2006/relationships/chart" Target="../charts/chart90.xml"/><Relationship Id="rId149" Type="http://schemas.openxmlformats.org/officeDocument/2006/relationships/chart" Target="../charts/chart109.xml"/><Relationship Id="rId5" Type="http://schemas.openxmlformats.org/officeDocument/2006/relationships/chart" Target="../charts/chart2.xml"/><Relationship Id="rId95" Type="http://schemas.openxmlformats.org/officeDocument/2006/relationships/chart" Target="../charts/chart67.xml"/><Relationship Id="rId160" Type="http://schemas.openxmlformats.org/officeDocument/2006/relationships/chart" Target="../charts/chart119.xml"/><Relationship Id="rId181" Type="http://schemas.openxmlformats.org/officeDocument/2006/relationships/image" Target="../media/image71.png"/><Relationship Id="rId22" Type="http://schemas.openxmlformats.org/officeDocument/2006/relationships/chart" Target="../charts/chart16.xml"/><Relationship Id="rId43" Type="http://schemas.openxmlformats.org/officeDocument/2006/relationships/chart" Target="../charts/chart26.xml"/><Relationship Id="rId64" Type="http://schemas.openxmlformats.org/officeDocument/2006/relationships/chart" Target="../charts/chart42.xml"/><Relationship Id="rId118" Type="http://schemas.openxmlformats.org/officeDocument/2006/relationships/chart" Target="../charts/chart84.xml"/><Relationship Id="rId139" Type="http://schemas.openxmlformats.org/officeDocument/2006/relationships/chart" Target="../charts/chart99.xml"/><Relationship Id="rId85" Type="http://schemas.openxmlformats.org/officeDocument/2006/relationships/chart" Target="../charts/chart61.xml"/><Relationship Id="rId150" Type="http://schemas.openxmlformats.org/officeDocument/2006/relationships/chart" Target="../charts/chart110.xml"/><Relationship Id="rId171" Type="http://schemas.openxmlformats.org/officeDocument/2006/relationships/chart" Target="../charts/chart130.xml"/><Relationship Id="rId192" Type="http://schemas.openxmlformats.org/officeDocument/2006/relationships/image" Target="../media/image1.png"/><Relationship Id="rId12" Type="http://schemas.openxmlformats.org/officeDocument/2006/relationships/chart" Target="../charts/chart9.xml"/><Relationship Id="rId33" Type="http://schemas.openxmlformats.org/officeDocument/2006/relationships/hyperlink" Target="#Graskompas!A130"/><Relationship Id="rId108" Type="http://schemas.openxmlformats.org/officeDocument/2006/relationships/image" Target="../media/image51.png"/><Relationship Id="rId129" Type="http://schemas.openxmlformats.org/officeDocument/2006/relationships/chart" Target="../charts/chart91.xml"/><Relationship Id="rId54" Type="http://schemas.openxmlformats.org/officeDocument/2006/relationships/chart" Target="../charts/chart36.xml"/><Relationship Id="rId75" Type="http://schemas.openxmlformats.org/officeDocument/2006/relationships/chart" Target="../charts/chart53.xml"/><Relationship Id="rId96" Type="http://schemas.openxmlformats.org/officeDocument/2006/relationships/chart" Target="../charts/chart68.xml"/><Relationship Id="rId140" Type="http://schemas.openxmlformats.org/officeDocument/2006/relationships/chart" Target="../charts/chart100.xml"/><Relationship Id="rId161" Type="http://schemas.openxmlformats.org/officeDocument/2006/relationships/chart" Target="../charts/chart120.xml"/><Relationship Id="rId182" Type="http://schemas.openxmlformats.org/officeDocument/2006/relationships/image" Target="../media/image72.png"/><Relationship Id="rId6" Type="http://schemas.openxmlformats.org/officeDocument/2006/relationships/chart" Target="../charts/chart3.xml"/><Relationship Id="rId23" Type="http://schemas.openxmlformats.org/officeDocument/2006/relationships/chart" Target="../charts/chart17.xml"/><Relationship Id="rId119" Type="http://schemas.openxmlformats.org/officeDocument/2006/relationships/chart" Target="../charts/chart85.xml"/><Relationship Id="rId44" Type="http://schemas.openxmlformats.org/officeDocument/2006/relationships/chart" Target="../charts/chart27.xml"/><Relationship Id="rId65" Type="http://schemas.openxmlformats.org/officeDocument/2006/relationships/chart" Target="../charts/chart43.xml"/><Relationship Id="rId86" Type="http://schemas.openxmlformats.org/officeDocument/2006/relationships/image" Target="../media/image41.png"/><Relationship Id="rId130" Type="http://schemas.openxmlformats.org/officeDocument/2006/relationships/chart" Target="../charts/chart92.xml"/><Relationship Id="rId151" Type="http://schemas.openxmlformats.org/officeDocument/2006/relationships/chart" Target="../charts/chart111.xml"/><Relationship Id="rId172" Type="http://schemas.openxmlformats.org/officeDocument/2006/relationships/chart" Target="../charts/chart131.xml"/><Relationship Id="rId13" Type="http://schemas.openxmlformats.org/officeDocument/2006/relationships/image" Target="../media/image13.png"/><Relationship Id="rId18" Type="http://schemas.openxmlformats.org/officeDocument/2006/relationships/chart" Target="../charts/chart12.xml"/><Relationship Id="rId39" Type="http://schemas.openxmlformats.org/officeDocument/2006/relationships/hyperlink" Target="#Graskompas!A314"/><Relationship Id="rId109" Type="http://schemas.openxmlformats.org/officeDocument/2006/relationships/image" Target="../media/image52.svg"/><Relationship Id="rId34" Type="http://schemas.openxmlformats.org/officeDocument/2006/relationships/hyperlink" Target="#Graskompas!A157"/><Relationship Id="rId50" Type="http://schemas.openxmlformats.org/officeDocument/2006/relationships/chart" Target="../charts/chart32.xml"/><Relationship Id="rId55" Type="http://schemas.openxmlformats.org/officeDocument/2006/relationships/chart" Target="../charts/chart37.xml"/><Relationship Id="rId76" Type="http://schemas.openxmlformats.org/officeDocument/2006/relationships/chart" Target="../charts/chart54.xml"/><Relationship Id="rId97" Type="http://schemas.openxmlformats.org/officeDocument/2006/relationships/chart" Target="../charts/chart69.xml"/><Relationship Id="rId104" Type="http://schemas.openxmlformats.org/officeDocument/2006/relationships/chart" Target="../charts/chart76.xml"/><Relationship Id="rId120" Type="http://schemas.openxmlformats.org/officeDocument/2006/relationships/chart" Target="../charts/chart86.xml"/><Relationship Id="rId125" Type="http://schemas.openxmlformats.org/officeDocument/2006/relationships/chart" Target="../charts/chart89.xml"/><Relationship Id="rId141" Type="http://schemas.openxmlformats.org/officeDocument/2006/relationships/chart" Target="../charts/chart101.xml"/><Relationship Id="rId146" Type="http://schemas.openxmlformats.org/officeDocument/2006/relationships/chart" Target="../charts/chart106.xml"/><Relationship Id="rId167" Type="http://schemas.openxmlformats.org/officeDocument/2006/relationships/chart" Target="../charts/chart126.xml"/><Relationship Id="rId188" Type="http://schemas.openxmlformats.org/officeDocument/2006/relationships/chart" Target="../charts/chart143.xml"/><Relationship Id="rId7" Type="http://schemas.openxmlformats.org/officeDocument/2006/relationships/chart" Target="../charts/chart4.xml"/><Relationship Id="rId71" Type="http://schemas.openxmlformats.org/officeDocument/2006/relationships/chart" Target="../charts/chart49.xml"/><Relationship Id="rId92" Type="http://schemas.openxmlformats.org/officeDocument/2006/relationships/chart" Target="../charts/chart64.xml"/><Relationship Id="rId162" Type="http://schemas.openxmlformats.org/officeDocument/2006/relationships/chart" Target="../charts/chart121.xml"/><Relationship Id="rId183" Type="http://schemas.openxmlformats.org/officeDocument/2006/relationships/image" Target="../media/image73.png"/><Relationship Id="rId2" Type="http://schemas.openxmlformats.org/officeDocument/2006/relationships/chart" Target="../charts/chart1.xml"/><Relationship Id="rId29" Type="http://schemas.openxmlformats.org/officeDocument/2006/relationships/chart" Target="../charts/chart23.xml"/><Relationship Id="rId24" Type="http://schemas.openxmlformats.org/officeDocument/2006/relationships/chart" Target="../charts/chart18.xml"/><Relationship Id="rId40" Type="http://schemas.openxmlformats.org/officeDocument/2006/relationships/image" Target="../media/image20.png"/><Relationship Id="rId45" Type="http://schemas.openxmlformats.org/officeDocument/2006/relationships/chart" Target="../charts/chart28.xml"/><Relationship Id="rId66" Type="http://schemas.openxmlformats.org/officeDocument/2006/relationships/chart" Target="../charts/chart44.xml"/><Relationship Id="rId87" Type="http://schemas.microsoft.com/office/2007/relationships/hdphoto" Target="../media/hdphoto5.wdp"/><Relationship Id="rId110" Type="http://schemas.openxmlformats.org/officeDocument/2006/relationships/image" Target="../media/image53.png"/><Relationship Id="rId115" Type="http://schemas.openxmlformats.org/officeDocument/2006/relationships/chart" Target="../charts/chart81.xml"/><Relationship Id="rId131" Type="http://schemas.openxmlformats.org/officeDocument/2006/relationships/chart" Target="../charts/chart93.xml"/><Relationship Id="rId136" Type="http://schemas.openxmlformats.org/officeDocument/2006/relationships/chart" Target="../charts/chart98.xml"/><Relationship Id="rId157" Type="http://schemas.openxmlformats.org/officeDocument/2006/relationships/chart" Target="../charts/chart116.xml"/><Relationship Id="rId178" Type="http://schemas.openxmlformats.org/officeDocument/2006/relationships/chart" Target="../charts/chart137.xml"/><Relationship Id="rId61" Type="http://schemas.openxmlformats.org/officeDocument/2006/relationships/chart" Target="../charts/chart39.xml"/><Relationship Id="rId82" Type="http://schemas.openxmlformats.org/officeDocument/2006/relationships/chart" Target="../charts/chart58.xml"/><Relationship Id="rId152" Type="http://schemas.openxmlformats.org/officeDocument/2006/relationships/chart" Target="../charts/chart112.xml"/><Relationship Id="rId173" Type="http://schemas.openxmlformats.org/officeDocument/2006/relationships/chart" Target="../charts/chart132.xml"/><Relationship Id="rId19" Type="http://schemas.openxmlformats.org/officeDocument/2006/relationships/chart" Target="../charts/chart13.xml"/><Relationship Id="rId14" Type="http://schemas.microsoft.com/office/2014/relationships/chartEx" Target="../charts/chartEx1.xml"/><Relationship Id="rId30" Type="http://schemas.openxmlformats.org/officeDocument/2006/relationships/chart" Target="../charts/chart24.xml"/><Relationship Id="rId35" Type="http://schemas.openxmlformats.org/officeDocument/2006/relationships/hyperlink" Target="#Graskompas!A198"/><Relationship Id="rId56" Type="http://schemas.openxmlformats.org/officeDocument/2006/relationships/image" Target="../media/image30.png"/><Relationship Id="rId77" Type="http://schemas.openxmlformats.org/officeDocument/2006/relationships/chart" Target="../charts/chart55.xml"/><Relationship Id="rId100" Type="http://schemas.openxmlformats.org/officeDocument/2006/relationships/chart" Target="../charts/chart72.xml"/><Relationship Id="rId105" Type="http://schemas.openxmlformats.org/officeDocument/2006/relationships/chart" Target="../charts/chart77.xml"/><Relationship Id="rId126" Type="http://schemas.openxmlformats.org/officeDocument/2006/relationships/image" Target="../media/image58.png"/><Relationship Id="rId147" Type="http://schemas.openxmlformats.org/officeDocument/2006/relationships/chart" Target="../charts/chart107.xml"/><Relationship Id="rId168" Type="http://schemas.openxmlformats.org/officeDocument/2006/relationships/chart" Target="../charts/chart127.xml"/><Relationship Id="rId8" Type="http://schemas.openxmlformats.org/officeDocument/2006/relationships/chart" Target="../charts/chart5.xml"/><Relationship Id="rId51" Type="http://schemas.openxmlformats.org/officeDocument/2006/relationships/chart" Target="../charts/chart33.xml"/><Relationship Id="rId72" Type="http://schemas.openxmlformats.org/officeDocument/2006/relationships/chart" Target="../charts/chart50.xml"/><Relationship Id="rId93" Type="http://schemas.openxmlformats.org/officeDocument/2006/relationships/chart" Target="../charts/chart65.xml"/><Relationship Id="rId98" Type="http://schemas.openxmlformats.org/officeDocument/2006/relationships/chart" Target="../charts/chart70.xml"/><Relationship Id="rId121" Type="http://schemas.openxmlformats.org/officeDocument/2006/relationships/chart" Target="../charts/chart87.xml"/><Relationship Id="rId142" Type="http://schemas.openxmlformats.org/officeDocument/2006/relationships/chart" Target="../charts/chart102.xml"/><Relationship Id="rId163" Type="http://schemas.openxmlformats.org/officeDocument/2006/relationships/chart" Target="../charts/chart122.xml"/><Relationship Id="rId184" Type="http://schemas.openxmlformats.org/officeDocument/2006/relationships/chart" Target="../charts/chart139.xml"/><Relationship Id="rId189" Type="http://schemas.openxmlformats.org/officeDocument/2006/relationships/chart" Target="../charts/chart144.xml"/><Relationship Id="rId3" Type="http://schemas.openxmlformats.org/officeDocument/2006/relationships/image" Target="../media/image4.png"/><Relationship Id="rId25" Type="http://schemas.openxmlformats.org/officeDocument/2006/relationships/chart" Target="../charts/chart19.xml"/><Relationship Id="rId46" Type="http://schemas.openxmlformats.org/officeDocument/2006/relationships/chart" Target="../charts/chart29.xml"/><Relationship Id="rId67" Type="http://schemas.openxmlformats.org/officeDocument/2006/relationships/chart" Target="../charts/chart45.xml"/><Relationship Id="rId116" Type="http://schemas.openxmlformats.org/officeDocument/2006/relationships/chart" Target="../charts/chart82.xml"/><Relationship Id="rId137" Type="http://schemas.openxmlformats.org/officeDocument/2006/relationships/image" Target="../media/image60.png"/><Relationship Id="rId158" Type="http://schemas.openxmlformats.org/officeDocument/2006/relationships/chart" Target="../charts/chart117.xml"/><Relationship Id="rId20" Type="http://schemas.openxmlformats.org/officeDocument/2006/relationships/chart" Target="../charts/chart14.xml"/><Relationship Id="rId41" Type="http://schemas.openxmlformats.org/officeDocument/2006/relationships/image" Target="../media/image21.svg"/><Relationship Id="rId62" Type="http://schemas.openxmlformats.org/officeDocument/2006/relationships/chart" Target="../charts/chart40.xml"/><Relationship Id="rId83" Type="http://schemas.openxmlformats.org/officeDocument/2006/relationships/chart" Target="../charts/chart59.xml"/><Relationship Id="rId88" Type="http://schemas.openxmlformats.org/officeDocument/2006/relationships/image" Target="../media/image42.png"/><Relationship Id="rId111" Type="http://schemas.microsoft.com/office/2007/relationships/hdphoto" Target="../media/hdphoto7.wdp"/><Relationship Id="rId132" Type="http://schemas.openxmlformats.org/officeDocument/2006/relationships/chart" Target="../charts/chart94.xml"/><Relationship Id="rId153" Type="http://schemas.openxmlformats.org/officeDocument/2006/relationships/chart" Target="../charts/chart113.xml"/><Relationship Id="rId174" Type="http://schemas.openxmlformats.org/officeDocument/2006/relationships/chart" Target="../charts/chart133.xml"/><Relationship Id="rId179" Type="http://schemas.openxmlformats.org/officeDocument/2006/relationships/chart" Target="../charts/chart138.xml"/><Relationship Id="rId190" Type="http://schemas.openxmlformats.org/officeDocument/2006/relationships/chart" Target="../charts/chart145.xml"/><Relationship Id="rId15" Type="http://schemas.openxmlformats.org/officeDocument/2006/relationships/chart" Target="../charts/chart10.xml"/><Relationship Id="rId36" Type="http://schemas.openxmlformats.org/officeDocument/2006/relationships/hyperlink" Target="#Graskompas!A225"/><Relationship Id="rId57" Type="http://schemas.microsoft.com/office/2007/relationships/hdphoto" Target="../media/hdphoto2.wdp"/><Relationship Id="rId106" Type="http://schemas.openxmlformats.org/officeDocument/2006/relationships/image" Target="../media/image49.png"/><Relationship Id="rId127" Type="http://schemas.openxmlformats.org/officeDocument/2006/relationships/image" Target="../media/image59.svg"/><Relationship Id="rId10" Type="http://schemas.openxmlformats.org/officeDocument/2006/relationships/chart" Target="../charts/chart7.xml"/><Relationship Id="rId31" Type="http://schemas.openxmlformats.org/officeDocument/2006/relationships/image" Target="../media/image19.png"/><Relationship Id="rId52" Type="http://schemas.openxmlformats.org/officeDocument/2006/relationships/chart" Target="../charts/chart34.xml"/><Relationship Id="rId73" Type="http://schemas.openxmlformats.org/officeDocument/2006/relationships/chart" Target="../charts/chart51.xml"/><Relationship Id="rId78" Type="http://schemas.openxmlformats.org/officeDocument/2006/relationships/image" Target="../media/image40.png"/><Relationship Id="rId94" Type="http://schemas.openxmlformats.org/officeDocument/2006/relationships/chart" Target="../charts/chart66.xml"/><Relationship Id="rId99" Type="http://schemas.openxmlformats.org/officeDocument/2006/relationships/chart" Target="../charts/chart71.xml"/><Relationship Id="rId101" Type="http://schemas.openxmlformats.org/officeDocument/2006/relationships/chart" Target="../charts/chart73.xml"/><Relationship Id="rId122" Type="http://schemas.openxmlformats.org/officeDocument/2006/relationships/image" Target="../media/image55.png"/><Relationship Id="rId143" Type="http://schemas.openxmlformats.org/officeDocument/2006/relationships/chart" Target="../charts/chart103.xml"/><Relationship Id="rId148" Type="http://schemas.openxmlformats.org/officeDocument/2006/relationships/chart" Target="../charts/chart108.xml"/><Relationship Id="rId164" Type="http://schemas.openxmlformats.org/officeDocument/2006/relationships/chart" Target="../charts/chart123.xml"/><Relationship Id="rId169" Type="http://schemas.openxmlformats.org/officeDocument/2006/relationships/chart" Target="../charts/chart128.xml"/><Relationship Id="rId185" Type="http://schemas.openxmlformats.org/officeDocument/2006/relationships/chart" Target="../charts/chart140.xml"/><Relationship Id="rId4" Type="http://schemas.microsoft.com/office/2007/relationships/hdphoto" Target="../media/hdphoto1.wdp"/><Relationship Id="rId9" Type="http://schemas.openxmlformats.org/officeDocument/2006/relationships/chart" Target="../charts/chart6.xml"/><Relationship Id="rId180" Type="http://schemas.openxmlformats.org/officeDocument/2006/relationships/image" Target="../media/image70.png"/><Relationship Id="rId26" Type="http://schemas.openxmlformats.org/officeDocument/2006/relationships/chart" Target="../charts/chart20.xml"/><Relationship Id="rId47" Type="http://schemas.openxmlformats.org/officeDocument/2006/relationships/chart" Target="../charts/chart30.xml"/><Relationship Id="rId68" Type="http://schemas.openxmlformats.org/officeDocument/2006/relationships/chart" Target="../charts/chart46.xml"/><Relationship Id="rId89" Type="http://schemas.microsoft.com/office/2007/relationships/hdphoto" Target="../media/hdphoto6.wdp"/><Relationship Id="rId112" Type="http://schemas.openxmlformats.org/officeDocument/2006/relationships/chart" Target="../charts/chart78.xml"/><Relationship Id="rId133" Type="http://schemas.openxmlformats.org/officeDocument/2006/relationships/chart" Target="../charts/chart95.xml"/><Relationship Id="rId154" Type="http://schemas.openxmlformats.org/officeDocument/2006/relationships/image" Target="../media/image67.png"/><Relationship Id="rId175" Type="http://schemas.openxmlformats.org/officeDocument/2006/relationships/chart" Target="../charts/chart134.xml"/><Relationship Id="rId16" Type="http://schemas.openxmlformats.org/officeDocument/2006/relationships/chart" Target="../charts/chart11.xml"/><Relationship Id="rId37" Type="http://schemas.openxmlformats.org/officeDocument/2006/relationships/hyperlink" Target="#Graskompas!A248"/><Relationship Id="rId58" Type="http://schemas.openxmlformats.org/officeDocument/2006/relationships/image" Target="../media/image31.png"/><Relationship Id="rId79" Type="http://schemas.microsoft.com/office/2007/relationships/hdphoto" Target="../media/hdphoto4.wdp"/><Relationship Id="rId102" Type="http://schemas.openxmlformats.org/officeDocument/2006/relationships/chart" Target="../charts/chart74.xml"/><Relationship Id="rId123" Type="http://schemas.microsoft.com/office/2007/relationships/hdphoto" Target="../media/hdphoto8.wdp"/><Relationship Id="rId144" Type="http://schemas.openxmlformats.org/officeDocument/2006/relationships/chart" Target="../charts/chart104.xml"/><Relationship Id="rId90" Type="http://schemas.openxmlformats.org/officeDocument/2006/relationships/chart" Target="../charts/chart62.xml"/><Relationship Id="rId165" Type="http://schemas.openxmlformats.org/officeDocument/2006/relationships/chart" Target="../charts/chart124.xml"/><Relationship Id="rId186" Type="http://schemas.openxmlformats.org/officeDocument/2006/relationships/chart" Target="../charts/chart141.xml"/><Relationship Id="rId27" Type="http://schemas.openxmlformats.org/officeDocument/2006/relationships/chart" Target="../charts/chart21.xml"/><Relationship Id="rId48" Type="http://schemas.openxmlformats.org/officeDocument/2006/relationships/image" Target="../media/image25.png"/><Relationship Id="rId69" Type="http://schemas.openxmlformats.org/officeDocument/2006/relationships/chart" Target="../charts/chart47.xml"/><Relationship Id="rId113" Type="http://schemas.openxmlformats.org/officeDocument/2006/relationships/chart" Target="../charts/chart79.xml"/><Relationship Id="rId134" Type="http://schemas.openxmlformats.org/officeDocument/2006/relationships/chart" Target="../charts/chart96.xml"/><Relationship Id="rId80" Type="http://schemas.openxmlformats.org/officeDocument/2006/relationships/chart" Target="../charts/chart56.xml"/><Relationship Id="rId155" Type="http://schemas.openxmlformats.org/officeDocument/2006/relationships/chart" Target="../charts/chart114.xml"/><Relationship Id="rId176" Type="http://schemas.openxmlformats.org/officeDocument/2006/relationships/chart" Target="../charts/chart135.xml"/><Relationship Id="rId17" Type="http://schemas.openxmlformats.org/officeDocument/2006/relationships/image" Target="../media/image15.png"/><Relationship Id="rId38" Type="http://schemas.openxmlformats.org/officeDocument/2006/relationships/hyperlink" Target="#Graskompas!A289"/><Relationship Id="rId59" Type="http://schemas.microsoft.com/office/2007/relationships/hdphoto" Target="../media/hdphoto3.wdp"/><Relationship Id="rId103" Type="http://schemas.openxmlformats.org/officeDocument/2006/relationships/chart" Target="../charts/chart75.xml"/><Relationship Id="rId124" Type="http://schemas.openxmlformats.org/officeDocument/2006/relationships/chart" Target="../charts/chart88.xml"/><Relationship Id="rId70" Type="http://schemas.openxmlformats.org/officeDocument/2006/relationships/chart" Target="../charts/chart48.xml"/><Relationship Id="rId91" Type="http://schemas.openxmlformats.org/officeDocument/2006/relationships/chart" Target="../charts/chart63.xml"/><Relationship Id="rId145" Type="http://schemas.openxmlformats.org/officeDocument/2006/relationships/chart" Target="../charts/chart105.xml"/><Relationship Id="rId166" Type="http://schemas.openxmlformats.org/officeDocument/2006/relationships/chart" Target="../charts/chart125.xml"/><Relationship Id="rId187" Type="http://schemas.openxmlformats.org/officeDocument/2006/relationships/chart" Target="../charts/chart142.xml"/><Relationship Id="rId1" Type="http://schemas.openxmlformats.org/officeDocument/2006/relationships/image" Target="../media/image2.png"/><Relationship Id="rId28" Type="http://schemas.openxmlformats.org/officeDocument/2006/relationships/chart" Target="../charts/chart22.xml"/><Relationship Id="rId49" Type="http://schemas.openxmlformats.org/officeDocument/2006/relationships/chart" Target="../charts/chart31.xml"/><Relationship Id="rId114" Type="http://schemas.openxmlformats.org/officeDocument/2006/relationships/chart" Target="../charts/chart80.xml"/><Relationship Id="rId60" Type="http://schemas.openxmlformats.org/officeDocument/2006/relationships/chart" Target="../charts/chart38.xml"/><Relationship Id="rId81" Type="http://schemas.openxmlformats.org/officeDocument/2006/relationships/chart" Target="../charts/chart57.xml"/><Relationship Id="rId135" Type="http://schemas.openxmlformats.org/officeDocument/2006/relationships/chart" Target="../charts/chart97.xml"/><Relationship Id="rId156" Type="http://schemas.openxmlformats.org/officeDocument/2006/relationships/chart" Target="../charts/chart115.xml"/><Relationship Id="rId177" Type="http://schemas.openxmlformats.org/officeDocument/2006/relationships/chart" Target="../charts/chart136.xml"/></Relationships>
</file>

<file path=xl/drawings/drawing1.xml><?xml version="1.0" encoding="utf-8"?>
<xdr:wsDr xmlns:xdr="http://schemas.openxmlformats.org/drawingml/2006/spreadsheetDrawing" xmlns:a="http://schemas.openxmlformats.org/drawingml/2006/main">
  <xdr:twoCellAnchor>
    <xdr:from>
      <xdr:col>0</xdr:col>
      <xdr:colOff>53340</xdr:colOff>
      <xdr:row>14</xdr:row>
      <xdr:rowOff>53340</xdr:rowOff>
    </xdr:from>
    <xdr:to>
      <xdr:col>1</xdr:col>
      <xdr:colOff>281940</xdr:colOff>
      <xdr:row>15</xdr:row>
      <xdr:rowOff>121920</xdr:rowOff>
    </xdr:to>
    <xdr:sp macro="" textlink="">
      <xdr:nvSpPr>
        <xdr:cNvPr id="6" name="Rechthoek 5">
          <a:hlinkClick xmlns:r="http://schemas.openxmlformats.org/officeDocument/2006/relationships" r:id="rId1"/>
          <a:extLst>
            <a:ext uri="{FF2B5EF4-FFF2-40B4-BE49-F238E27FC236}">
              <a16:creationId xmlns:a16="http://schemas.microsoft.com/office/drawing/2014/main" id="{80312AE7-E635-481E-9985-8A93006B9093}"/>
            </a:ext>
          </a:extLst>
        </xdr:cNvPr>
        <xdr:cNvSpPr/>
      </xdr:nvSpPr>
      <xdr:spPr>
        <a:xfrm>
          <a:off x="53340" y="2613660"/>
          <a:ext cx="8382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Algemeen</a:t>
          </a:r>
        </a:p>
      </xdr:txBody>
    </xdr:sp>
    <xdr:clientData/>
  </xdr:twoCellAnchor>
  <xdr:twoCellAnchor>
    <xdr:from>
      <xdr:col>0</xdr:col>
      <xdr:colOff>45720</xdr:colOff>
      <xdr:row>21</xdr:row>
      <xdr:rowOff>60960</xdr:rowOff>
    </xdr:from>
    <xdr:to>
      <xdr:col>2</xdr:col>
      <xdr:colOff>198120</xdr:colOff>
      <xdr:row>22</xdr:row>
      <xdr:rowOff>129540</xdr:rowOff>
    </xdr:to>
    <xdr:sp macro="" textlink="">
      <xdr:nvSpPr>
        <xdr:cNvPr id="7" name="Rechthoek 6">
          <a:hlinkClick xmlns:r="http://schemas.openxmlformats.org/officeDocument/2006/relationships" r:id="rId2"/>
          <a:extLst>
            <a:ext uri="{FF2B5EF4-FFF2-40B4-BE49-F238E27FC236}">
              <a16:creationId xmlns:a16="http://schemas.microsoft.com/office/drawing/2014/main" id="{82C83B22-A15F-40E0-BBD6-45A5C1F7607E}"/>
            </a:ext>
          </a:extLst>
        </xdr:cNvPr>
        <xdr:cNvSpPr/>
      </xdr:nvSpPr>
      <xdr:spPr>
        <a:xfrm>
          <a:off x="45720" y="390144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Zaai</a:t>
          </a:r>
        </a:p>
      </xdr:txBody>
    </xdr:sp>
    <xdr:clientData/>
  </xdr:twoCellAnchor>
  <xdr:twoCellAnchor>
    <xdr:from>
      <xdr:col>0</xdr:col>
      <xdr:colOff>45720</xdr:colOff>
      <xdr:row>27</xdr:row>
      <xdr:rowOff>45720</xdr:rowOff>
    </xdr:from>
    <xdr:to>
      <xdr:col>1</xdr:col>
      <xdr:colOff>327660</xdr:colOff>
      <xdr:row>28</xdr:row>
      <xdr:rowOff>114300</xdr:rowOff>
    </xdr:to>
    <xdr:sp macro="" textlink="">
      <xdr:nvSpPr>
        <xdr:cNvPr id="8" name="Rechthoek 7">
          <a:hlinkClick xmlns:r="http://schemas.openxmlformats.org/officeDocument/2006/relationships" r:id="rId3"/>
          <a:extLst>
            <a:ext uri="{FF2B5EF4-FFF2-40B4-BE49-F238E27FC236}">
              <a16:creationId xmlns:a16="http://schemas.microsoft.com/office/drawing/2014/main" id="{2C874361-4A50-475B-9D36-D36F5DE00C70}"/>
            </a:ext>
          </a:extLst>
        </xdr:cNvPr>
        <xdr:cNvSpPr/>
      </xdr:nvSpPr>
      <xdr:spPr>
        <a:xfrm>
          <a:off x="45720" y="4434840"/>
          <a:ext cx="89154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Graskompas</a:t>
          </a:r>
        </a:p>
      </xdr:txBody>
    </xdr:sp>
    <xdr:clientData/>
  </xdr:twoCellAnchor>
  <xdr:twoCellAnchor>
    <xdr:from>
      <xdr:col>4</xdr:col>
      <xdr:colOff>601980</xdr:colOff>
      <xdr:row>23</xdr:row>
      <xdr:rowOff>60960</xdr:rowOff>
    </xdr:from>
    <xdr:to>
      <xdr:col>7</xdr:col>
      <xdr:colOff>144780</xdr:colOff>
      <xdr:row>24</xdr:row>
      <xdr:rowOff>129540</xdr:rowOff>
    </xdr:to>
    <xdr:sp macro="" textlink="">
      <xdr:nvSpPr>
        <xdr:cNvPr id="10" name="Rechthoek 9">
          <a:hlinkClick xmlns:r="http://schemas.openxmlformats.org/officeDocument/2006/relationships" r:id="rId4"/>
          <a:extLst>
            <a:ext uri="{FF2B5EF4-FFF2-40B4-BE49-F238E27FC236}">
              <a16:creationId xmlns:a16="http://schemas.microsoft.com/office/drawing/2014/main" id="{8BB7BC2A-57BE-40EF-B813-0F7223946E0C}"/>
            </a:ext>
          </a:extLst>
        </xdr:cNvPr>
        <xdr:cNvSpPr/>
      </xdr:nvSpPr>
      <xdr:spPr>
        <a:xfrm>
          <a:off x="3040380" y="426720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Graslandonderhoud</a:t>
          </a:r>
        </a:p>
      </xdr:txBody>
    </xdr:sp>
    <xdr:clientData/>
  </xdr:twoCellAnchor>
  <xdr:twoCellAnchor>
    <xdr:from>
      <xdr:col>2</xdr:col>
      <xdr:colOff>327660</xdr:colOff>
      <xdr:row>21</xdr:row>
      <xdr:rowOff>60960</xdr:rowOff>
    </xdr:from>
    <xdr:to>
      <xdr:col>4</xdr:col>
      <xdr:colOff>480060</xdr:colOff>
      <xdr:row>22</xdr:row>
      <xdr:rowOff>129540</xdr:rowOff>
    </xdr:to>
    <xdr:sp macro="" textlink="">
      <xdr:nvSpPr>
        <xdr:cNvPr id="11" name="Rechthoek 10">
          <a:hlinkClick xmlns:r="http://schemas.openxmlformats.org/officeDocument/2006/relationships" r:id="rId5"/>
          <a:extLst>
            <a:ext uri="{FF2B5EF4-FFF2-40B4-BE49-F238E27FC236}">
              <a16:creationId xmlns:a16="http://schemas.microsoft.com/office/drawing/2014/main" id="{C8F00C90-E4D8-48F1-B104-F2C0E90F7E4B}"/>
            </a:ext>
          </a:extLst>
        </xdr:cNvPr>
        <xdr:cNvSpPr/>
      </xdr:nvSpPr>
      <xdr:spPr>
        <a:xfrm>
          <a:off x="1546860" y="390144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Nutriëntenbeheer</a:t>
          </a:r>
        </a:p>
      </xdr:txBody>
    </xdr:sp>
    <xdr:clientData/>
  </xdr:twoCellAnchor>
  <xdr:twoCellAnchor>
    <xdr:from>
      <xdr:col>4</xdr:col>
      <xdr:colOff>601980</xdr:colOff>
      <xdr:row>21</xdr:row>
      <xdr:rowOff>68580</xdr:rowOff>
    </xdr:from>
    <xdr:to>
      <xdr:col>7</xdr:col>
      <xdr:colOff>144780</xdr:colOff>
      <xdr:row>22</xdr:row>
      <xdr:rowOff>137160</xdr:rowOff>
    </xdr:to>
    <xdr:sp macro="" textlink="">
      <xdr:nvSpPr>
        <xdr:cNvPr id="12" name="Rechthoek 11">
          <a:hlinkClick xmlns:r="http://schemas.openxmlformats.org/officeDocument/2006/relationships" r:id="rId6"/>
          <a:extLst>
            <a:ext uri="{FF2B5EF4-FFF2-40B4-BE49-F238E27FC236}">
              <a16:creationId xmlns:a16="http://schemas.microsoft.com/office/drawing/2014/main" id="{B1708415-5FAD-41C2-9CAE-FF907B45C5FC}"/>
            </a:ext>
          </a:extLst>
        </xdr:cNvPr>
        <xdr:cNvSpPr/>
      </xdr:nvSpPr>
      <xdr:spPr>
        <a:xfrm>
          <a:off x="3040380" y="390906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Oogst</a:t>
          </a:r>
        </a:p>
      </xdr:txBody>
    </xdr:sp>
    <xdr:clientData/>
  </xdr:twoCellAnchor>
  <xdr:twoCellAnchor>
    <xdr:from>
      <xdr:col>7</xdr:col>
      <xdr:colOff>259080</xdr:colOff>
      <xdr:row>21</xdr:row>
      <xdr:rowOff>76200</xdr:rowOff>
    </xdr:from>
    <xdr:to>
      <xdr:col>9</xdr:col>
      <xdr:colOff>411480</xdr:colOff>
      <xdr:row>22</xdr:row>
      <xdr:rowOff>144780</xdr:rowOff>
    </xdr:to>
    <xdr:sp macro="" textlink="">
      <xdr:nvSpPr>
        <xdr:cNvPr id="13" name="Rechthoek 12">
          <a:hlinkClick xmlns:r="http://schemas.openxmlformats.org/officeDocument/2006/relationships" r:id="rId7"/>
          <a:extLst>
            <a:ext uri="{FF2B5EF4-FFF2-40B4-BE49-F238E27FC236}">
              <a16:creationId xmlns:a16="http://schemas.microsoft.com/office/drawing/2014/main" id="{19B4B728-1CF9-4690-A3CF-77725C6D2779}"/>
            </a:ext>
          </a:extLst>
        </xdr:cNvPr>
        <xdr:cNvSpPr/>
      </xdr:nvSpPr>
      <xdr:spPr>
        <a:xfrm>
          <a:off x="4526280" y="391668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Weidegang</a:t>
          </a:r>
        </a:p>
      </xdr:txBody>
    </xdr:sp>
    <xdr:clientData/>
  </xdr:twoCellAnchor>
  <xdr:twoCellAnchor>
    <xdr:from>
      <xdr:col>0</xdr:col>
      <xdr:colOff>38100</xdr:colOff>
      <xdr:row>23</xdr:row>
      <xdr:rowOff>53340</xdr:rowOff>
    </xdr:from>
    <xdr:to>
      <xdr:col>2</xdr:col>
      <xdr:colOff>190500</xdr:colOff>
      <xdr:row>24</xdr:row>
      <xdr:rowOff>121920</xdr:rowOff>
    </xdr:to>
    <xdr:sp macro="" textlink="">
      <xdr:nvSpPr>
        <xdr:cNvPr id="14" name="Rechthoek 13">
          <a:hlinkClick xmlns:r="http://schemas.openxmlformats.org/officeDocument/2006/relationships" r:id="rId8"/>
          <a:extLst>
            <a:ext uri="{FF2B5EF4-FFF2-40B4-BE49-F238E27FC236}">
              <a16:creationId xmlns:a16="http://schemas.microsoft.com/office/drawing/2014/main" id="{E029BF05-1E0D-42E6-9721-7F50CABD0204}"/>
            </a:ext>
          </a:extLst>
        </xdr:cNvPr>
        <xdr:cNvSpPr/>
      </xdr:nvSpPr>
      <xdr:spPr>
        <a:xfrm>
          <a:off x="38100" y="425958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Kwaliteit graskuil</a:t>
          </a:r>
        </a:p>
      </xdr:txBody>
    </xdr:sp>
    <xdr:clientData/>
  </xdr:twoCellAnchor>
  <xdr:twoCellAnchor>
    <xdr:from>
      <xdr:col>2</xdr:col>
      <xdr:colOff>320040</xdr:colOff>
      <xdr:row>23</xdr:row>
      <xdr:rowOff>53340</xdr:rowOff>
    </xdr:from>
    <xdr:to>
      <xdr:col>4</xdr:col>
      <xdr:colOff>472440</xdr:colOff>
      <xdr:row>24</xdr:row>
      <xdr:rowOff>121920</xdr:rowOff>
    </xdr:to>
    <xdr:sp macro="" textlink="">
      <xdr:nvSpPr>
        <xdr:cNvPr id="15" name="Rechthoek 14">
          <a:hlinkClick xmlns:r="http://schemas.openxmlformats.org/officeDocument/2006/relationships" r:id="rId9"/>
          <a:extLst>
            <a:ext uri="{FF2B5EF4-FFF2-40B4-BE49-F238E27FC236}">
              <a16:creationId xmlns:a16="http://schemas.microsoft.com/office/drawing/2014/main" id="{23E12F9D-7A74-4F86-90DB-67C1F76F2ACC}"/>
            </a:ext>
          </a:extLst>
        </xdr:cNvPr>
        <xdr:cNvSpPr/>
      </xdr:nvSpPr>
      <xdr:spPr>
        <a:xfrm>
          <a:off x="1539240" y="425958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In-uitkuilen</a:t>
          </a:r>
        </a:p>
      </xdr:txBody>
    </xdr:sp>
    <xdr:clientData/>
  </xdr:twoCellAnchor>
  <xdr:twoCellAnchor>
    <xdr:from>
      <xdr:col>7</xdr:col>
      <xdr:colOff>259080</xdr:colOff>
      <xdr:row>23</xdr:row>
      <xdr:rowOff>68580</xdr:rowOff>
    </xdr:from>
    <xdr:to>
      <xdr:col>9</xdr:col>
      <xdr:colOff>411480</xdr:colOff>
      <xdr:row>24</xdr:row>
      <xdr:rowOff>137160</xdr:rowOff>
    </xdr:to>
    <xdr:sp macro="" textlink="">
      <xdr:nvSpPr>
        <xdr:cNvPr id="16" name="Rechthoek 15">
          <a:hlinkClick xmlns:r="http://schemas.openxmlformats.org/officeDocument/2006/relationships" r:id="rId10"/>
          <a:extLst>
            <a:ext uri="{FF2B5EF4-FFF2-40B4-BE49-F238E27FC236}">
              <a16:creationId xmlns:a16="http://schemas.microsoft.com/office/drawing/2014/main" id="{0F175706-8011-48B7-A708-84942D4D9CF7}"/>
            </a:ext>
          </a:extLst>
        </xdr:cNvPr>
        <xdr:cNvSpPr/>
      </xdr:nvSpPr>
      <xdr:spPr>
        <a:xfrm>
          <a:off x="4526280" y="4274820"/>
          <a:ext cx="13716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Waterhuishouding</a:t>
          </a:r>
        </a:p>
      </xdr:txBody>
    </xdr:sp>
    <xdr:clientData/>
  </xdr:twoCellAnchor>
  <xdr:twoCellAnchor editAs="oneCell">
    <xdr:from>
      <xdr:col>0</xdr:col>
      <xdr:colOff>0</xdr:colOff>
      <xdr:row>0</xdr:row>
      <xdr:rowOff>0</xdr:rowOff>
    </xdr:from>
    <xdr:to>
      <xdr:col>14</xdr:col>
      <xdr:colOff>579910</xdr:colOff>
      <xdr:row>6</xdr:row>
      <xdr:rowOff>6192</xdr:rowOff>
    </xdr:to>
    <xdr:pic>
      <xdr:nvPicPr>
        <xdr:cNvPr id="3" name="Afbeelding 2">
          <a:extLst>
            <a:ext uri="{FF2B5EF4-FFF2-40B4-BE49-F238E27FC236}">
              <a16:creationId xmlns:a16="http://schemas.microsoft.com/office/drawing/2014/main" id="{8A52ED7E-465B-4635-B0C9-D14A997CD26A}"/>
            </a:ext>
          </a:extLst>
        </xdr:cNvPr>
        <xdr:cNvPicPr>
          <a:picLocks noChangeAspect="1"/>
        </xdr:cNvPicPr>
      </xdr:nvPicPr>
      <xdr:blipFill>
        <a:blip xmlns:r="http://schemas.openxmlformats.org/officeDocument/2006/relationships" r:embed="rId11"/>
        <a:stretch>
          <a:fillRect/>
        </a:stretch>
      </xdr:blipFill>
      <xdr:spPr>
        <a:xfrm>
          <a:off x="0" y="0"/>
          <a:ext cx="9114310" cy="1103472"/>
        </a:xfrm>
        <a:prstGeom prst="rect">
          <a:avLst/>
        </a:prstGeom>
      </xdr:spPr>
    </xdr:pic>
    <xdr:clientData/>
  </xdr:twoCellAnchor>
  <xdr:twoCellAnchor editAs="oneCell">
    <xdr:from>
      <xdr:col>0</xdr:col>
      <xdr:colOff>0</xdr:colOff>
      <xdr:row>29</xdr:row>
      <xdr:rowOff>7620</xdr:rowOff>
    </xdr:from>
    <xdr:to>
      <xdr:col>14</xdr:col>
      <xdr:colOff>579910</xdr:colOff>
      <xdr:row>35</xdr:row>
      <xdr:rowOff>13812</xdr:rowOff>
    </xdr:to>
    <xdr:pic>
      <xdr:nvPicPr>
        <xdr:cNvPr id="4" name="Afbeelding 3">
          <a:extLst>
            <a:ext uri="{FF2B5EF4-FFF2-40B4-BE49-F238E27FC236}">
              <a16:creationId xmlns:a16="http://schemas.microsoft.com/office/drawing/2014/main" id="{785CB4C9-C1CC-447B-9309-92E1A8841669}"/>
            </a:ext>
          </a:extLst>
        </xdr:cNvPr>
        <xdr:cNvPicPr>
          <a:picLocks noChangeAspect="1"/>
        </xdr:cNvPicPr>
      </xdr:nvPicPr>
      <xdr:blipFill>
        <a:blip xmlns:r="http://schemas.openxmlformats.org/officeDocument/2006/relationships" r:embed="rId11"/>
        <a:stretch>
          <a:fillRect/>
        </a:stretch>
      </xdr:blipFill>
      <xdr:spPr>
        <a:xfrm>
          <a:off x="0" y="5311140"/>
          <a:ext cx="9114310" cy="11034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22</xdr:row>
      <xdr:rowOff>0</xdr:rowOff>
    </xdr:from>
    <xdr:to>
      <xdr:col>4</xdr:col>
      <xdr:colOff>304800</xdr:colOff>
      <xdr:row>23</xdr:row>
      <xdr:rowOff>133350</xdr:rowOff>
    </xdr:to>
    <xdr:sp macro="" textlink="">
      <xdr:nvSpPr>
        <xdr:cNvPr id="4097" name="AutoShape 1" descr="logo project Graskracht, Hooibeekhoeve, PVL, Inagro, Boerenbond, Europese Unie">
          <a:extLst>
            <a:ext uri="{FF2B5EF4-FFF2-40B4-BE49-F238E27FC236}">
              <a16:creationId xmlns:a16="http://schemas.microsoft.com/office/drawing/2014/main" id="{6D043338-E64F-6181-FF81-9673AA4FC3D2}"/>
            </a:ext>
          </a:extLst>
        </xdr:cNvPr>
        <xdr:cNvSpPr>
          <a:spLocks noChangeAspect="1" noChangeArrowheads="1"/>
        </xdr:cNvSpPr>
      </xdr:nvSpPr>
      <xdr:spPr bwMode="auto">
        <a:xfrm>
          <a:off x="5989320" y="3695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xdr:col>
      <xdr:colOff>152400</xdr:colOff>
      <xdr:row>0</xdr:row>
      <xdr:rowOff>60960</xdr:rowOff>
    </xdr:from>
    <xdr:to>
      <xdr:col>4</xdr:col>
      <xdr:colOff>381000</xdr:colOff>
      <xdr:row>1</xdr:row>
      <xdr:rowOff>121920</xdr:rowOff>
    </xdr:to>
    <xdr:sp macro="" textlink="">
      <xdr:nvSpPr>
        <xdr:cNvPr id="14" name="Rechthoek 13">
          <a:hlinkClick xmlns:r="http://schemas.openxmlformats.org/officeDocument/2006/relationships" r:id="rId1"/>
          <a:extLst>
            <a:ext uri="{FF2B5EF4-FFF2-40B4-BE49-F238E27FC236}">
              <a16:creationId xmlns:a16="http://schemas.microsoft.com/office/drawing/2014/main" id="{D6494292-8A16-B8BC-B4D9-80491BE38A05}"/>
            </a:ext>
          </a:extLst>
        </xdr:cNvPr>
        <xdr:cNvSpPr/>
      </xdr:nvSpPr>
      <xdr:spPr>
        <a:xfrm>
          <a:off x="5532120" y="60960"/>
          <a:ext cx="8382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Zaai</a:t>
          </a:r>
        </a:p>
      </xdr:txBody>
    </xdr:sp>
    <xdr:clientData/>
  </xdr:twoCellAnchor>
  <xdr:twoCellAnchor>
    <xdr:from>
      <xdr:col>4</xdr:col>
      <xdr:colOff>449580</xdr:colOff>
      <xdr:row>0</xdr:row>
      <xdr:rowOff>68580</xdr:rowOff>
    </xdr:from>
    <xdr:to>
      <xdr:col>6</xdr:col>
      <xdr:colOff>121920</xdr:colOff>
      <xdr:row>1</xdr:row>
      <xdr:rowOff>129540</xdr:rowOff>
    </xdr:to>
    <xdr:sp macro="" textlink="">
      <xdr:nvSpPr>
        <xdr:cNvPr id="2" name="Rechthoek 1">
          <a:hlinkClick xmlns:r="http://schemas.openxmlformats.org/officeDocument/2006/relationships" r:id="rId2"/>
          <a:extLst>
            <a:ext uri="{FF2B5EF4-FFF2-40B4-BE49-F238E27FC236}">
              <a16:creationId xmlns:a16="http://schemas.microsoft.com/office/drawing/2014/main" id="{5B6AEFD9-F587-4172-8B0A-E3931811EBCA}"/>
            </a:ext>
          </a:extLst>
        </xdr:cNvPr>
        <xdr:cNvSpPr/>
      </xdr:nvSpPr>
      <xdr:spPr>
        <a:xfrm>
          <a:off x="6438900" y="68580"/>
          <a:ext cx="89154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Handleiding</a:t>
          </a:r>
        </a:p>
      </xdr:txBody>
    </xdr:sp>
    <xdr:clientData/>
  </xdr:twoCellAnchor>
  <xdr:twoCellAnchor editAs="oneCell">
    <xdr:from>
      <xdr:col>0</xdr:col>
      <xdr:colOff>0</xdr:colOff>
      <xdr:row>20</xdr:row>
      <xdr:rowOff>15239</xdr:rowOff>
    </xdr:from>
    <xdr:to>
      <xdr:col>11</xdr:col>
      <xdr:colOff>602770</xdr:colOff>
      <xdr:row>27</xdr:row>
      <xdr:rowOff>49816</xdr:rowOff>
    </xdr:to>
    <xdr:pic>
      <xdr:nvPicPr>
        <xdr:cNvPr id="4" name="Afbeelding 3">
          <a:extLst>
            <a:ext uri="{FF2B5EF4-FFF2-40B4-BE49-F238E27FC236}">
              <a16:creationId xmlns:a16="http://schemas.microsoft.com/office/drawing/2014/main" id="{496F36B2-095F-4C56-9FAB-875B338FC915}"/>
            </a:ext>
          </a:extLst>
        </xdr:cNvPr>
        <xdr:cNvPicPr>
          <a:picLocks noChangeAspect="1"/>
        </xdr:cNvPicPr>
      </xdr:nvPicPr>
      <xdr:blipFill>
        <a:blip xmlns:r="http://schemas.openxmlformats.org/officeDocument/2006/relationships" r:embed="rId3"/>
        <a:stretch>
          <a:fillRect/>
        </a:stretch>
      </xdr:blipFill>
      <xdr:spPr>
        <a:xfrm>
          <a:off x="0" y="3710939"/>
          <a:ext cx="10859290" cy="1314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106680</xdr:colOff>
      <xdr:row>0</xdr:row>
      <xdr:rowOff>68580</xdr:rowOff>
    </xdr:from>
    <xdr:to>
      <xdr:col>6</xdr:col>
      <xdr:colOff>243840</xdr:colOff>
      <xdr:row>1</xdr:row>
      <xdr:rowOff>129540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9B1E8807-5A16-434B-9FD1-8D1DEE1C0530}"/>
            </a:ext>
          </a:extLst>
        </xdr:cNvPr>
        <xdr:cNvSpPr/>
      </xdr:nvSpPr>
      <xdr:spPr>
        <a:xfrm>
          <a:off x="5242560" y="68580"/>
          <a:ext cx="135636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Nutriëntenbeheer</a:t>
          </a:r>
        </a:p>
      </xdr:txBody>
    </xdr:sp>
    <xdr:clientData/>
  </xdr:twoCellAnchor>
  <xdr:twoCellAnchor editAs="oneCell">
    <xdr:from>
      <xdr:col>0</xdr:col>
      <xdr:colOff>0</xdr:colOff>
      <xdr:row>15</xdr:row>
      <xdr:rowOff>30480</xdr:rowOff>
    </xdr:from>
    <xdr:to>
      <xdr:col>13</xdr:col>
      <xdr:colOff>237010</xdr:colOff>
      <xdr:row>22</xdr:row>
      <xdr:rowOff>65057</xdr:rowOff>
    </xdr:to>
    <xdr:pic>
      <xdr:nvPicPr>
        <xdr:cNvPr id="4" name="Afbeelding 3">
          <a:extLst>
            <a:ext uri="{FF2B5EF4-FFF2-40B4-BE49-F238E27FC236}">
              <a16:creationId xmlns:a16="http://schemas.microsoft.com/office/drawing/2014/main" id="{233AC7C4-C37A-4642-8FA8-673A48A94453}"/>
            </a:ext>
          </a:extLst>
        </xdr:cNvPr>
        <xdr:cNvPicPr>
          <a:picLocks noChangeAspect="1"/>
        </xdr:cNvPicPr>
      </xdr:nvPicPr>
      <xdr:blipFill>
        <a:blip xmlns:r="http://schemas.openxmlformats.org/officeDocument/2006/relationships" r:embed="rId2"/>
        <a:stretch>
          <a:fillRect/>
        </a:stretch>
      </xdr:blipFill>
      <xdr:spPr>
        <a:xfrm>
          <a:off x="0" y="2415540"/>
          <a:ext cx="10859290" cy="13147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167640</xdr:colOff>
      <xdr:row>0</xdr:row>
      <xdr:rowOff>60960</xdr:rowOff>
    </xdr:from>
    <xdr:to>
      <xdr:col>5</xdr:col>
      <xdr:colOff>396240</xdr:colOff>
      <xdr:row>1</xdr:row>
      <xdr:rowOff>121920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1D32115A-DCEE-4521-ADEF-B1DEBB7CF280}"/>
            </a:ext>
          </a:extLst>
        </xdr:cNvPr>
        <xdr:cNvSpPr/>
      </xdr:nvSpPr>
      <xdr:spPr>
        <a:xfrm>
          <a:off x="5974080" y="60960"/>
          <a:ext cx="8382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Oogst</a:t>
          </a:r>
        </a:p>
      </xdr:txBody>
    </xdr:sp>
    <xdr:clientData/>
  </xdr:twoCellAnchor>
  <xdr:twoCellAnchor editAs="oneCell">
    <xdr:from>
      <xdr:col>0</xdr:col>
      <xdr:colOff>0</xdr:colOff>
      <xdr:row>29</xdr:row>
      <xdr:rowOff>22860</xdr:rowOff>
    </xdr:from>
    <xdr:to>
      <xdr:col>12</xdr:col>
      <xdr:colOff>176050</xdr:colOff>
      <xdr:row>36</xdr:row>
      <xdr:rowOff>57437</xdr:rowOff>
    </xdr:to>
    <xdr:pic>
      <xdr:nvPicPr>
        <xdr:cNvPr id="4" name="Afbeelding 3">
          <a:extLst>
            <a:ext uri="{FF2B5EF4-FFF2-40B4-BE49-F238E27FC236}">
              <a16:creationId xmlns:a16="http://schemas.microsoft.com/office/drawing/2014/main" id="{B4905AE4-FB4E-43FE-99C7-94ED3C45632F}"/>
            </a:ext>
          </a:extLst>
        </xdr:cNvPr>
        <xdr:cNvPicPr>
          <a:picLocks noChangeAspect="1"/>
        </xdr:cNvPicPr>
      </xdr:nvPicPr>
      <xdr:blipFill>
        <a:blip xmlns:r="http://schemas.openxmlformats.org/officeDocument/2006/relationships" r:embed="rId2"/>
        <a:stretch>
          <a:fillRect/>
        </a:stretch>
      </xdr:blipFill>
      <xdr:spPr>
        <a:xfrm>
          <a:off x="0" y="4968240"/>
          <a:ext cx="10859290" cy="13147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137160</xdr:colOff>
      <xdr:row>0</xdr:row>
      <xdr:rowOff>53340</xdr:rowOff>
    </xdr:from>
    <xdr:to>
      <xdr:col>6</xdr:col>
      <xdr:colOff>365760</xdr:colOff>
      <xdr:row>1</xdr:row>
      <xdr:rowOff>114300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2CFD48A8-4E13-4D0C-BBDC-F4E73EB2C628}"/>
            </a:ext>
          </a:extLst>
        </xdr:cNvPr>
        <xdr:cNvSpPr/>
      </xdr:nvSpPr>
      <xdr:spPr>
        <a:xfrm>
          <a:off x="6195060" y="53340"/>
          <a:ext cx="8382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Weidegang</a:t>
          </a:r>
        </a:p>
      </xdr:txBody>
    </xdr:sp>
    <xdr:clientData/>
  </xdr:twoCellAnchor>
  <xdr:twoCellAnchor editAs="oneCell">
    <xdr:from>
      <xdr:col>0</xdr:col>
      <xdr:colOff>0</xdr:colOff>
      <xdr:row>17</xdr:row>
      <xdr:rowOff>30480</xdr:rowOff>
    </xdr:from>
    <xdr:to>
      <xdr:col>12</xdr:col>
      <xdr:colOff>534190</xdr:colOff>
      <xdr:row>24</xdr:row>
      <xdr:rowOff>65057</xdr:rowOff>
    </xdr:to>
    <xdr:pic>
      <xdr:nvPicPr>
        <xdr:cNvPr id="2" name="Afbeelding 1">
          <a:extLst>
            <a:ext uri="{FF2B5EF4-FFF2-40B4-BE49-F238E27FC236}">
              <a16:creationId xmlns:a16="http://schemas.microsoft.com/office/drawing/2014/main" id="{6AA09B25-14E5-433C-BC8C-CEE979F393FD}"/>
            </a:ext>
          </a:extLst>
        </xdr:cNvPr>
        <xdr:cNvPicPr>
          <a:picLocks noChangeAspect="1"/>
        </xdr:cNvPicPr>
      </xdr:nvPicPr>
      <xdr:blipFill>
        <a:blip xmlns:r="http://schemas.openxmlformats.org/officeDocument/2006/relationships" r:embed="rId2"/>
        <a:stretch>
          <a:fillRect/>
        </a:stretch>
      </xdr:blipFill>
      <xdr:spPr>
        <a:xfrm>
          <a:off x="0" y="2781300"/>
          <a:ext cx="10859290" cy="13147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171450</xdr:colOff>
      <xdr:row>0</xdr:row>
      <xdr:rowOff>57150</xdr:rowOff>
    </xdr:from>
    <xdr:to>
      <xdr:col>6</xdr:col>
      <xdr:colOff>1409700</xdr:colOff>
      <xdr:row>1</xdr:row>
      <xdr:rowOff>114300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C6D0FACD-1F75-4443-A7C5-2CB3639B0422}"/>
            </a:ext>
          </a:extLst>
        </xdr:cNvPr>
        <xdr:cNvSpPr/>
      </xdr:nvSpPr>
      <xdr:spPr>
        <a:xfrm>
          <a:off x="9677400" y="57150"/>
          <a:ext cx="1238250" cy="24765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Kwaliteit graskuil</a:t>
          </a:r>
        </a:p>
      </xdr:txBody>
    </xdr:sp>
    <xdr:clientData/>
  </xdr:twoCellAnchor>
  <xdr:twoCellAnchor editAs="oneCell">
    <xdr:from>
      <xdr:col>0</xdr:col>
      <xdr:colOff>0</xdr:colOff>
      <xdr:row>15</xdr:row>
      <xdr:rowOff>30480</xdr:rowOff>
    </xdr:from>
    <xdr:to>
      <xdr:col>10</xdr:col>
      <xdr:colOff>267490</xdr:colOff>
      <xdr:row>22</xdr:row>
      <xdr:rowOff>65057</xdr:rowOff>
    </xdr:to>
    <xdr:pic>
      <xdr:nvPicPr>
        <xdr:cNvPr id="4" name="Afbeelding 3">
          <a:extLst>
            <a:ext uri="{FF2B5EF4-FFF2-40B4-BE49-F238E27FC236}">
              <a16:creationId xmlns:a16="http://schemas.microsoft.com/office/drawing/2014/main" id="{36120760-BB5D-490F-B3C3-F8029BBBCDEF}"/>
            </a:ext>
          </a:extLst>
        </xdr:cNvPr>
        <xdr:cNvPicPr>
          <a:picLocks noChangeAspect="1"/>
        </xdr:cNvPicPr>
      </xdr:nvPicPr>
      <xdr:blipFill>
        <a:blip xmlns:r="http://schemas.openxmlformats.org/officeDocument/2006/relationships" r:embed="rId2"/>
        <a:stretch>
          <a:fillRect/>
        </a:stretch>
      </xdr:blipFill>
      <xdr:spPr>
        <a:xfrm>
          <a:off x="0" y="2415540"/>
          <a:ext cx="10859290" cy="13147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175260</xdr:colOff>
      <xdr:row>0</xdr:row>
      <xdr:rowOff>68580</xdr:rowOff>
    </xdr:from>
    <xdr:to>
      <xdr:col>7</xdr:col>
      <xdr:colOff>403860</xdr:colOff>
      <xdr:row>1</xdr:row>
      <xdr:rowOff>129540</xdr:rowOff>
    </xdr:to>
    <xdr:sp macro="" textlink="">
      <xdr:nvSpPr>
        <xdr:cNvPr id="2" name="Rechthoek 1">
          <a:hlinkClick xmlns:r="http://schemas.openxmlformats.org/officeDocument/2006/relationships" r:id="rId1"/>
          <a:extLst>
            <a:ext uri="{FF2B5EF4-FFF2-40B4-BE49-F238E27FC236}">
              <a16:creationId xmlns:a16="http://schemas.microsoft.com/office/drawing/2014/main" id="{EFAD520D-40A3-4372-9852-2F7A3A016475}"/>
            </a:ext>
          </a:extLst>
        </xdr:cNvPr>
        <xdr:cNvSpPr/>
      </xdr:nvSpPr>
      <xdr:spPr>
        <a:xfrm>
          <a:off x="6964680" y="68580"/>
          <a:ext cx="83820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In-uitkuilen</a:t>
          </a:r>
        </a:p>
      </xdr:txBody>
    </xdr:sp>
    <xdr:clientData/>
  </xdr:twoCellAnchor>
  <xdr:twoCellAnchor editAs="oneCell">
    <xdr:from>
      <xdr:col>0</xdr:col>
      <xdr:colOff>0</xdr:colOff>
      <xdr:row>9</xdr:row>
      <xdr:rowOff>22860</xdr:rowOff>
    </xdr:from>
    <xdr:to>
      <xdr:col>12</xdr:col>
      <xdr:colOff>412270</xdr:colOff>
      <xdr:row>16</xdr:row>
      <xdr:rowOff>57437</xdr:rowOff>
    </xdr:to>
    <xdr:pic>
      <xdr:nvPicPr>
        <xdr:cNvPr id="3" name="Afbeelding 2">
          <a:extLst>
            <a:ext uri="{FF2B5EF4-FFF2-40B4-BE49-F238E27FC236}">
              <a16:creationId xmlns:a16="http://schemas.microsoft.com/office/drawing/2014/main" id="{04DB14A0-088B-40DC-80D4-27D9DF540BFF}"/>
            </a:ext>
          </a:extLst>
        </xdr:cNvPr>
        <xdr:cNvPicPr>
          <a:picLocks noChangeAspect="1"/>
        </xdr:cNvPicPr>
      </xdr:nvPicPr>
      <xdr:blipFill>
        <a:blip xmlns:r="http://schemas.openxmlformats.org/officeDocument/2006/relationships" r:embed="rId2"/>
        <a:stretch>
          <a:fillRect/>
        </a:stretch>
      </xdr:blipFill>
      <xdr:spPr>
        <a:xfrm>
          <a:off x="0" y="1310640"/>
          <a:ext cx="10859290" cy="13147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175260</xdr:colOff>
      <xdr:row>0</xdr:row>
      <xdr:rowOff>68580</xdr:rowOff>
    </xdr:from>
    <xdr:to>
      <xdr:col>7</xdr:col>
      <xdr:colOff>281940</xdr:colOff>
      <xdr:row>1</xdr:row>
      <xdr:rowOff>129540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6091DC88-7806-4DA9-9DB9-85199E0A7948}"/>
            </a:ext>
          </a:extLst>
        </xdr:cNvPr>
        <xdr:cNvSpPr/>
      </xdr:nvSpPr>
      <xdr:spPr>
        <a:xfrm>
          <a:off x="8709660" y="68580"/>
          <a:ext cx="1325880" cy="25146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Graslandonderhoud</a:t>
          </a:r>
        </a:p>
      </xdr:txBody>
    </xdr:sp>
    <xdr:clientData/>
  </xdr:twoCellAnchor>
  <xdr:twoCellAnchor editAs="oneCell">
    <xdr:from>
      <xdr:col>0</xdr:col>
      <xdr:colOff>0</xdr:colOff>
      <xdr:row>18</xdr:row>
      <xdr:rowOff>22860</xdr:rowOff>
    </xdr:from>
    <xdr:to>
      <xdr:col>8</xdr:col>
      <xdr:colOff>496090</xdr:colOff>
      <xdr:row>25</xdr:row>
      <xdr:rowOff>57437</xdr:rowOff>
    </xdr:to>
    <xdr:pic>
      <xdr:nvPicPr>
        <xdr:cNvPr id="4" name="Afbeelding 3">
          <a:extLst>
            <a:ext uri="{FF2B5EF4-FFF2-40B4-BE49-F238E27FC236}">
              <a16:creationId xmlns:a16="http://schemas.microsoft.com/office/drawing/2014/main" id="{39A94F57-5392-454A-B79B-5BDD2BE34DB7}"/>
            </a:ext>
          </a:extLst>
        </xdr:cNvPr>
        <xdr:cNvPicPr>
          <a:picLocks noChangeAspect="1"/>
        </xdr:cNvPicPr>
      </xdr:nvPicPr>
      <xdr:blipFill>
        <a:blip xmlns:r="http://schemas.openxmlformats.org/officeDocument/2006/relationships" r:embed="rId2"/>
        <a:stretch>
          <a:fillRect/>
        </a:stretch>
      </xdr:blipFill>
      <xdr:spPr>
        <a:xfrm>
          <a:off x="0" y="2956560"/>
          <a:ext cx="10859290" cy="131473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95250</xdr:colOff>
      <xdr:row>0</xdr:row>
      <xdr:rowOff>76200</xdr:rowOff>
    </xdr:from>
    <xdr:to>
      <xdr:col>6</xdr:col>
      <xdr:colOff>114300</xdr:colOff>
      <xdr:row>1</xdr:row>
      <xdr:rowOff>133350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E0641572-7DD4-485A-B3D1-4900642A6059}"/>
            </a:ext>
          </a:extLst>
        </xdr:cNvPr>
        <xdr:cNvSpPr/>
      </xdr:nvSpPr>
      <xdr:spPr>
        <a:xfrm>
          <a:off x="10515600" y="76200"/>
          <a:ext cx="1238250" cy="24765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Waterhuishouding</a:t>
          </a:r>
        </a:p>
      </xdr:txBody>
    </xdr:sp>
    <xdr:clientData/>
  </xdr:twoCellAnchor>
  <xdr:twoCellAnchor editAs="oneCell">
    <xdr:from>
      <xdr:col>0</xdr:col>
      <xdr:colOff>0</xdr:colOff>
      <xdr:row>12</xdr:row>
      <xdr:rowOff>15240</xdr:rowOff>
    </xdr:from>
    <xdr:to>
      <xdr:col>5</xdr:col>
      <xdr:colOff>572290</xdr:colOff>
      <xdr:row>19</xdr:row>
      <xdr:rowOff>49817</xdr:rowOff>
    </xdr:to>
    <xdr:pic>
      <xdr:nvPicPr>
        <xdr:cNvPr id="2" name="Afbeelding 1">
          <a:extLst>
            <a:ext uri="{FF2B5EF4-FFF2-40B4-BE49-F238E27FC236}">
              <a16:creationId xmlns:a16="http://schemas.microsoft.com/office/drawing/2014/main" id="{8098BA66-F423-40C7-A296-C5CEA8E4A7D5}"/>
            </a:ext>
          </a:extLst>
        </xdr:cNvPr>
        <xdr:cNvPicPr>
          <a:picLocks noChangeAspect="1"/>
        </xdr:cNvPicPr>
      </xdr:nvPicPr>
      <xdr:blipFill>
        <a:blip xmlns:r="http://schemas.openxmlformats.org/officeDocument/2006/relationships" r:embed="rId2"/>
        <a:stretch>
          <a:fillRect/>
        </a:stretch>
      </xdr:blipFill>
      <xdr:spPr>
        <a:xfrm>
          <a:off x="0" y="1851660"/>
          <a:ext cx="10859290" cy="131473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161925</xdr:colOff>
      <xdr:row>0</xdr:row>
      <xdr:rowOff>83820</xdr:rowOff>
    </xdr:from>
    <xdr:to>
      <xdr:col>5</xdr:col>
      <xdr:colOff>504825</xdr:colOff>
      <xdr:row>1</xdr:row>
      <xdr:rowOff>129540</xdr:rowOff>
    </xdr:to>
    <xdr:sp macro="" textlink="">
      <xdr:nvSpPr>
        <xdr:cNvPr id="3" name="Rechthoek 2">
          <a:hlinkClick xmlns:r="http://schemas.openxmlformats.org/officeDocument/2006/relationships" r:id="rId1"/>
          <a:extLst>
            <a:ext uri="{FF2B5EF4-FFF2-40B4-BE49-F238E27FC236}">
              <a16:creationId xmlns:a16="http://schemas.microsoft.com/office/drawing/2014/main" id="{A3CCB62F-895B-4F03-8513-47F883131518}"/>
            </a:ext>
          </a:extLst>
        </xdr:cNvPr>
        <xdr:cNvSpPr/>
      </xdr:nvSpPr>
      <xdr:spPr>
        <a:xfrm>
          <a:off x="7378065" y="83820"/>
          <a:ext cx="952500" cy="236220"/>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100">
              <a:solidFill>
                <a:sysClr val="windowText" lastClr="000000"/>
              </a:solidFill>
            </a:rPr>
            <a:t>Graskompas</a:t>
          </a:r>
        </a:p>
      </xdr:txBody>
    </xdr:sp>
    <xdr:clientData/>
  </xdr:twoCellAnchor>
  <xdr:twoCellAnchor editAs="oneCell">
    <xdr:from>
      <xdr:col>0</xdr:col>
      <xdr:colOff>0</xdr:colOff>
      <xdr:row>11</xdr:row>
      <xdr:rowOff>15240</xdr:rowOff>
    </xdr:from>
    <xdr:to>
      <xdr:col>9</xdr:col>
      <xdr:colOff>595150</xdr:colOff>
      <xdr:row>18</xdr:row>
      <xdr:rowOff>49817</xdr:rowOff>
    </xdr:to>
    <xdr:pic>
      <xdr:nvPicPr>
        <xdr:cNvPr id="4" name="Afbeelding 3">
          <a:extLst>
            <a:ext uri="{FF2B5EF4-FFF2-40B4-BE49-F238E27FC236}">
              <a16:creationId xmlns:a16="http://schemas.microsoft.com/office/drawing/2014/main" id="{3B5DB8BF-F0E5-4047-8E9D-B6227FB0536A}"/>
            </a:ext>
          </a:extLst>
        </xdr:cNvPr>
        <xdr:cNvPicPr>
          <a:picLocks noChangeAspect="1"/>
        </xdr:cNvPicPr>
      </xdr:nvPicPr>
      <xdr:blipFill>
        <a:blip xmlns:r="http://schemas.openxmlformats.org/officeDocument/2006/relationships" r:embed="rId2"/>
        <a:stretch>
          <a:fillRect/>
        </a:stretch>
      </xdr:blipFill>
      <xdr:spPr>
        <a:xfrm>
          <a:off x="0" y="1668780"/>
          <a:ext cx="10859290" cy="131473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1955318</xdr:colOff>
      <xdr:row>250</xdr:row>
      <xdr:rowOff>57508</xdr:rowOff>
    </xdr:from>
    <xdr:to>
      <xdr:col>22</xdr:col>
      <xdr:colOff>743024</xdr:colOff>
      <xdr:row>275</xdr:row>
      <xdr:rowOff>14377</xdr:rowOff>
    </xdr:to>
    <xdr:pic>
      <xdr:nvPicPr>
        <xdr:cNvPr id="160" name="Afbeelding 159">
          <a:extLst>
            <a:ext uri="{FF2B5EF4-FFF2-40B4-BE49-F238E27FC236}">
              <a16:creationId xmlns:a16="http://schemas.microsoft.com/office/drawing/2014/main" id="{59740B75-78FE-B7D6-8034-C8FA361BE9BE}"/>
            </a:ext>
          </a:extLst>
        </xdr:cNvPr>
        <xdr:cNvPicPr>
          <a:picLocks noChangeAspect="1"/>
        </xdr:cNvPicPr>
      </xdr:nvPicPr>
      <xdr:blipFill>
        <a:blip xmlns:r="http://schemas.openxmlformats.org/officeDocument/2006/relationships" r:embed="rId1"/>
        <a:srcRect t="27255"/>
        <a:stretch>
          <a:fillRect/>
        </a:stretch>
      </xdr:blipFill>
      <xdr:spPr>
        <a:xfrm>
          <a:off x="1955318" y="65345093"/>
          <a:ext cx="14760951" cy="6786114"/>
        </a:xfrm>
        <a:prstGeom prst="rect">
          <a:avLst/>
        </a:prstGeom>
      </xdr:spPr>
    </xdr:pic>
    <xdr:clientData/>
  </xdr:twoCellAnchor>
  <xdr:twoCellAnchor>
    <xdr:from>
      <xdr:col>6</xdr:col>
      <xdr:colOff>445697</xdr:colOff>
      <xdr:row>261</xdr:row>
      <xdr:rowOff>186906</xdr:rowOff>
    </xdr:from>
    <xdr:to>
      <xdr:col>8</xdr:col>
      <xdr:colOff>244413</xdr:colOff>
      <xdr:row>265</xdr:row>
      <xdr:rowOff>226244</xdr:rowOff>
    </xdr:to>
    <xdr:graphicFrame macro="">
      <xdr:nvGraphicFramePr>
        <xdr:cNvPr id="218" name="Grafiek 97">
          <a:extLst>
            <a:ext uri="{FF2B5EF4-FFF2-40B4-BE49-F238E27FC236}">
              <a16:creationId xmlns:a16="http://schemas.microsoft.com/office/drawing/2014/main" id="{C7EF5319-4A79-49C5-95D2-643B442DCB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304800</xdr:colOff>
      <xdr:row>107</xdr:row>
      <xdr:rowOff>243840</xdr:rowOff>
    </xdr:from>
    <xdr:to>
      <xdr:col>6</xdr:col>
      <xdr:colOff>457464</xdr:colOff>
      <xdr:row>115</xdr:row>
      <xdr:rowOff>237934</xdr:rowOff>
    </xdr:to>
    <xdr:pic>
      <xdr:nvPicPr>
        <xdr:cNvPr id="84" name="Afbeelding 83">
          <a:extLst>
            <a:ext uri="{FF2B5EF4-FFF2-40B4-BE49-F238E27FC236}">
              <a16:creationId xmlns:a16="http://schemas.microsoft.com/office/drawing/2014/main" id="{0AAD5712-E6CA-0D16-308C-5B4F02CABEF7}"/>
            </a:ext>
          </a:extLst>
        </xdr:cNvPr>
        <xdr:cNvPicPr>
          <a:picLocks noChangeAspect="1"/>
        </xdr:cNvPicPr>
      </xdr:nvPicPr>
      <xdr:blipFill>
        <a:blip xmlns:r="http://schemas.openxmlformats.org/officeDocument/2006/relationships" r:embed="rId3">
          <a:duotone>
            <a:schemeClr val="bg2">
              <a:shade val="45000"/>
              <a:satMod val="135000"/>
            </a:schemeClr>
            <a:prstClr val="white"/>
          </a:duotone>
          <a:extLst>
            <a:ext uri="{BEBA8EAE-BF5A-486C-A8C5-ECC9F3942E4B}">
              <a14:imgProps xmlns:a14="http://schemas.microsoft.com/office/drawing/2010/main">
                <a14:imgLayer r:embed="rId4">
                  <a14:imgEffect>
                    <a14:saturation sat="0"/>
                  </a14:imgEffect>
                </a14:imgLayer>
              </a14:imgProps>
            </a:ext>
          </a:extLst>
        </a:blip>
        <a:stretch>
          <a:fillRect/>
        </a:stretch>
      </xdr:blipFill>
      <xdr:spPr>
        <a:xfrm>
          <a:off x="2910840" y="26929080"/>
          <a:ext cx="3048264" cy="2188654"/>
        </a:xfrm>
        <a:prstGeom prst="rect">
          <a:avLst/>
        </a:prstGeom>
      </xdr:spPr>
    </xdr:pic>
    <xdr:clientData/>
  </xdr:twoCellAnchor>
  <xdr:twoCellAnchor>
    <xdr:from>
      <xdr:col>2</xdr:col>
      <xdr:colOff>198120</xdr:colOff>
      <xdr:row>97</xdr:row>
      <xdr:rowOff>106680</xdr:rowOff>
    </xdr:from>
    <xdr:to>
      <xdr:col>6</xdr:col>
      <xdr:colOff>358140</xdr:colOff>
      <xdr:row>108</xdr:row>
      <xdr:rowOff>76200</xdr:rowOff>
    </xdr:to>
    <xdr:graphicFrame macro="">
      <xdr:nvGraphicFramePr>
        <xdr:cNvPr id="68" name="Grafiek 67">
          <a:extLst>
            <a:ext uri="{FF2B5EF4-FFF2-40B4-BE49-F238E27FC236}">
              <a16:creationId xmlns:a16="http://schemas.microsoft.com/office/drawing/2014/main" id="{55BF097F-72E5-F416-CE88-A119A52933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198120</xdr:colOff>
      <xdr:row>97</xdr:row>
      <xdr:rowOff>106680</xdr:rowOff>
    </xdr:from>
    <xdr:to>
      <xdr:col>6</xdr:col>
      <xdr:colOff>358140</xdr:colOff>
      <xdr:row>108</xdr:row>
      <xdr:rowOff>76200</xdr:rowOff>
    </xdr:to>
    <xdr:graphicFrame macro="">
      <xdr:nvGraphicFramePr>
        <xdr:cNvPr id="70" name="Grafiek 69">
          <a:extLst>
            <a:ext uri="{FF2B5EF4-FFF2-40B4-BE49-F238E27FC236}">
              <a16:creationId xmlns:a16="http://schemas.microsoft.com/office/drawing/2014/main" id="{D5636FEF-D81F-49CB-BB3C-EE809877B6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198120</xdr:colOff>
      <xdr:row>97</xdr:row>
      <xdr:rowOff>106680</xdr:rowOff>
    </xdr:from>
    <xdr:to>
      <xdr:col>6</xdr:col>
      <xdr:colOff>358140</xdr:colOff>
      <xdr:row>108</xdr:row>
      <xdr:rowOff>76200</xdr:rowOff>
    </xdr:to>
    <xdr:graphicFrame macro="">
      <xdr:nvGraphicFramePr>
        <xdr:cNvPr id="71" name="Grafiek 70">
          <a:extLst>
            <a:ext uri="{FF2B5EF4-FFF2-40B4-BE49-F238E27FC236}">
              <a16:creationId xmlns:a16="http://schemas.microsoft.com/office/drawing/2014/main" id="{68FB9B5B-43AB-4168-B2E9-3F0DBC5603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198120</xdr:colOff>
      <xdr:row>97</xdr:row>
      <xdr:rowOff>106680</xdr:rowOff>
    </xdr:from>
    <xdr:to>
      <xdr:col>6</xdr:col>
      <xdr:colOff>358140</xdr:colOff>
      <xdr:row>108</xdr:row>
      <xdr:rowOff>76200</xdr:rowOff>
    </xdr:to>
    <xdr:graphicFrame macro="">
      <xdr:nvGraphicFramePr>
        <xdr:cNvPr id="72" name="Grafiek 71">
          <a:extLst>
            <a:ext uri="{FF2B5EF4-FFF2-40B4-BE49-F238E27FC236}">
              <a16:creationId xmlns:a16="http://schemas.microsoft.com/office/drawing/2014/main" id="{C7093B3D-C481-4722-920B-990F5CFE3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198120</xdr:colOff>
      <xdr:row>97</xdr:row>
      <xdr:rowOff>91440</xdr:rowOff>
    </xdr:from>
    <xdr:to>
      <xdr:col>6</xdr:col>
      <xdr:colOff>358140</xdr:colOff>
      <xdr:row>108</xdr:row>
      <xdr:rowOff>60960</xdr:rowOff>
    </xdr:to>
    <xdr:graphicFrame macro="">
      <xdr:nvGraphicFramePr>
        <xdr:cNvPr id="73" name="Grafiek 72">
          <a:extLst>
            <a:ext uri="{FF2B5EF4-FFF2-40B4-BE49-F238E27FC236}">
              <a16:creationId xmlns:a16="http://schemas.microsoft.com/office/drawing/2014/main" id="{49F6FEAF-ED71-425A-A30E-C791423556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198120</xdr:colOff>
      <xdr:row>97</xdr:row>
      <xdr:rowOff>91440</xdr:rowOff>
    </xdr:from>
    <xdr:to>
      <xdr:col>6</xdr:col>
      <xdr:colOff>358140</xdr:colOff>
      <xdr:row>108</xdr:row>
      <xdr:rowOff>60960</xdr:rowOff>
    </xdr:to>
    <xdr:graphicFrame macro="">
      <xdr:nvGraphicFramePr>
        <xdr:cNvPr id="74" name="Grafiek 73">
          <a:extLst>
            <a:ext uri="{FF2B5EF4-FFF2-40B4-BE49-F238E27FC236}">
              <a16:creationId xmlns:a16="http://schemas.microsoft.com/office/drawing/2014/main" id="{98979559-E906-4CFD-8565-2CEFD4CB8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198120</xdr:colOff>
      <xdr:row>97</xdr:row>
      <xdr:rowOff>106680</xdr:rowOff>
    </xdr:from>
    <xdr:to>
      <xdr:col>6</xdr:col>
      <xdr:colOff>358140</xdr:colOff>
      <xdr:row>108</xdr:row>
      <xdr:rowOff>76200</xdr:rowOff>
    </xdr:to>
    <xdr:graphicFrame macro="">
      <xdr:nvGraphicFramePr>
        <xdr:cNvPr id="75" name="Grafiek 74">
          <a:extLst>
            <a:ext uri="{FF2B5EF4-FFF2-40B4-BE49-F238E27FC236}">
              <a16:creationId xmlns:a16="http://schemas.microsoft.com/office/drawing/2014/main" id="{81B6C6BF-C4E7-4D04-8258-754440747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198120</xdr:colOff>
      <xdr:row>97</xdr:row>
      <xdr:rowOff>106680</xdr:rowOff>
    </xdr:from>
    <xdr:to>
      <xdr:col>6</xdr:col>
      <xdr:colOff>358140</xdr:colOff>
      <xdr:row>108</xdr:row>
      <xdr:rowOff>76200</xdr:rowOff>
    </xdr:to>
    <xdr:graphicFrame macro="">
      <xdr:nvGraphicFramePr>
        <xdr:cNvPr id="76" name="Grafiek 75">
          <a:extLst>
            <a:ext uri="{FF2B5EF4-FFF2-40B4-BE49-F238E27FC236}">
              <a16:creationId xmlns:a16="http://schemas.microsoft.com/office/drawing/2014/main" id="{B572E3FA-5B27-4283-8ED9-F9D469E57C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139509</xdr:colOff>
      <xdr:row>62</xdr:row>
      <xdr:rowOff>157269</xdr:rowOff>
    </xdr:from>
    <xdr:to>
      <xdr:col>6</xdr:col>
      <xdr:colOff>25473</xdr:colOff>
      <xdr:row>73</xdr:row>
      <xdr:rowOff>50503</xdr:rowOff>
    </xdr:to>
    <xdr:pic>
      <xdr:nvPicPr>
        <xdr:cNvPr id="5" name="Afbeelding 4">
          <a:extLst>
            <a:ext uri="{FF2B5EF4-FFF2-40B4-BE49-F238E27FC236}">
              <a16:creationId xmlns:a16="http://schemas.microsoft.com/office/drawing/2014/main" id="{92731AC6-FB33-4B3D-AC69-7C44E7944BC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39509" y="9812898"/>
          <a:ext cx="5383250" cy="2799719"/>
        </a:xfrm>
        <a:prstGeom prst="rect">
          <a:avLst/>
        </a:prstGeom>
      </xdr:spPr>
    </xdr:pic>
    <xdr:clientData/>
  </xdr:twoCellAnchor>
  <xdr:twoCellAnchor>
    <xdr:from>
      <xdr:col>2</xdr:col>
      <xdr:colOff>169846</xdr:colOff>
      <xdr:row>5</xdr:row>
      <xdr:rowOff>4512</xdr:rowOff>
    </xdr:from>
    <xdr:to>
      <xdr:col>22</xdr:col>
      <xdr:colOff>560070</xdr:colOff>
      <xdr:row>61</xdr:row>
      <xdr:rowOff>68580</xdr:rowOff>
    </xdr:to>
    <mc:AlternateContent xmlns:mc="http://schemas.openxmlformats.org/markup-compatibility/2006">
      <mc:Choice xmlns:cx1="http://schemas.microsoft.com/office/drawing/2015/9/8/chartex" Requires="cx1">
        <xdr:graphicFrame macro="">
          <xdr:nvGraphicFramePr>
            <xdr:cNvPr id="8" name="Grafiek 7">
              <a:extLst>
                <a:ext uri="{FF2B5EF4-FFF2-40B4-BE49-F238E27FC236}">
                  <a16:creationId xmlns:a16="http://schemas.microsoft.com/office/drawing/2014/main" id="{7A58AAFD-06FC-4B1A-A434-FD5CCF44475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4"/>
            </a:graphicData>
          </a:graphic>
        </xdr:graphicFrame>
      </mc:Choice>
      <mc:Fallback>
        <xdr:sp macro="" textlink="">
          <xdr:nvSpPr>
            <xdr:cNvPr id="0" name=""/>
            <xdr:cNvSpPr>
              <a:spLocks noTextEdit="1"/>
            </xdr:cNvSpPr>
          </xdr:nvSpPr>
          <xdr:spPr>
            <a:xfrm>
              <a:off x="2773981" y="1511367"/>
              <a:ext cx="13852859" cy="10194858"/>
            </a:xfrm>
            <a:prstGeom prst="rect">
              <a:avLst/>
            </a:prstGeom>
            <a:solidFill>
              <a:prstClr val="white"/>
            </a:solidFill>
            <a:ln w="1">
              <a:solidFill>
                <a:prstClr val="green"/>
              </a:solidFill>
            </a:ln>
          </xdr:spPr>
          <xdr:txBody>
            <a:bodyPr vertOverflow="clip" horzOverflow="clip"/>
            <a:lstStyle/>
            <a:p>
              <a:r>
                <a:rPr lang="nl-BE" sz="1100"/>
                <a:t>Deze grafiek is niet beschikbaar in uw versie van Excel.
Als u deze vorm bewerkt of deze werkmap opslaat in een andere bestandsindeling, wordt de grafiek onherstelbaar beschadigd.</a:t>
              </a:r>
            </a:p>
          </xdr:txBody>
        </xdr:sp>
      </mc:Fallback>
    </mc:AlternateContent>
    <xdr:clientData/>
  </xdr:twoCellAnchor>
  <xdr:twoCellAnchor>
    <xdr:from>
      <xdr:col>4</xdr:col>
      <xdr:colOff>254119</xdr:colOff>
      <xdr:row>14</xdr:row>
      <xdr:rowOff>95609</xdr:rowOff>
    </xdr:from>
    <xdr:to>
      <xdr:col>19</xdr:col>
      <xdr:colOff>272451</xdr:colOff>
      <xdr:row>51</xdr:row>
      <xdr:rowOff>52477</xdr:rowOff>
    </xdr:to>
    <xdr:graphicFrame macro="">
      <xdr:nvGraphicFramePr>
        <xdr:cNvPr id="9" name="Grafiek 8">
          <a:extLst>
            <a:ext uri="{FF2B5EF4-FFF2-40B4-BE49-F238E27FC236}">
              <a16:creationId xmlns:a16="http://schemas.microsoft.com/office/drawing/2014/main" id="{5F9B7319-A9A8-474A-A2E5-7CF4081A6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252088</xdr:colOff>
      <xdr:row>63</xdr:row>
      <xdr:rowOff>51561</xdr:rowOff>
    </xdr:from>
    <xdr:to>
      <xdr:col>5</xdr:col>
      <xdr:colOff>353784</xdr:colOff>
      <xdr:row>72</xdr:row>
      <xdr:rowOff>42681</xdr:rowOff>
    </xdr:to>
    <xdr:graphicFrame macro="">
      <xdr:nvGraphicFramePr>
        <xdr:cNvPr id="4" name="Grafiek 3">
          <a:extLst>
            <a:ext uri="{FF2B5EF4-FFF2-40B4-BE49-F238E27FC236}">
              <a16:creationId xmlns:a16="http://schemas.microsoft.com/office/drawing/2014/main" id="{166F4648-4FE6-CD15-9F55-C493BE334A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2</xdr:col>
      <xdr:colOff>693637</xdr:colOff>
      <xdr:row>159</xdr:row>
      <xdr:rowOff>908</xdr:rowOff>
    </xdr:from>
    <xdr:to>
      <xdr:col>22</xdr:col>
      <xdr:colOff>98748</xdr:colOff>
      <xdr:row>182</xdr:row>
      <xdr:rowOff>138545</xdr:rowOff>
    </xdr:to>
    <xdr:pic>
      <xdr:nvPicPr>
        <xdr:cNvPr id="13" name="Afbeelding 12">
          <a:extLst>
            <a:ext uri="{FF2B5EF4-FFF2-40B4-BE49-F238E27FC236}">
              <a16:creationId xmlns:a16="http://schemas.microsoft.com/office/drawing/2014/main" id="{6B431907-1470-5BE5-B769-0BCE74686FC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298292" y="39846581"/>
          <a:ext cx="12871729" cy="4778909"/>
        </a:xfrm>
        <a:prstGeom prst="rect">
          <a:avLst/>
        </a:prstGeom>
      </xdr:spPr>
    </xdr:pic>
    <xdr:clientData/>
  </xdr:twoCellAnchor>
  <xdr:twoCellAnchor>
    <xdr:from>
      <xdr:col>4</xdr:col>
      <xdr:colOff>394855</xdr:colOff>
      <xdr:row>171</xdr:row>
      <xdr:rowOff>193963</xdr:rowOff>
    </xdr:from>
    <xdr:to>
      <xdr:col>6</xdr:col>
      <xdr:colOff>235527</xdr:colOff>
      <xdr:row>176</xdr:row>
      <xdr:rowOff>134171</xdr:rowOff>
    </xdr:to>
    <xdr:graphicFrame macro="">
      <xdr:nvGraphicFramePr>
        <xdr:cNvPr id="14" name="Grafiek 13">
          <a:extLst>
            <a:ext uri="{FF2B5EF4-FFF2-40B4-BE49-F238E27FC236}">
              <a16:creationId xmlns:a16="http://schemas.microsoft.com/office/drawing/2014/main" id="{B091D80F-4331-FAC4-9EA8-36F4DDB76A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xdr:col>
      <xdr:colOff>623456</xdr:colOff>
      <xdr:row>169</xdr:row>
      <xdr:rowOff>13855</xdr:rowOff>
    </xdr:from>
    <xdr:to>
      <xdr:col>8</xdr:col>
      <xdr:colOff>304800</xdr:colOff>
      <xdr:row>176</xdr:row>
      <xdr:rowOff>166257</xdr:rowOff>
    </xdr:to>
    <xdr:graphicFrame macro="">
      <xdr:nvGraphicFramePr>
        <xdr:cNvPr id="6" name="Grafiek 5">
          <a:extLst>
            <a:ext uri="{FF2B5EF4-FFF2-40B4-BE49-F238E27FC236}">
              <a16:creationId xmlns:a16="http://schemas.microsoft.com/office/drawing/2014/main" id="{FD228CB0-841A-4185-84F9-1116448CD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388654</xdr:colOff>
      <xdr:row>172</xdr:row>
      <xdr:rowOff>221673</xdr:rowOff>
    </xdr:from>
    <xdr:to>
      <xdr:col>19</xdr:col>
      <xdr:colOff>401781</xdr:colOff>
      <xdr:row>176</xdr:row>
      <xdr:rowOff>92059</xdr:rowOff>
    </xdr:to>
    <xdr:graphicFrame macro="">
      <xdr:nvGraphicFramePr>
        <xdr:cNvPr id="15" name="Grafiek 14">
          <a:extLst>
            <a:ext uri="{FF2B5EF4-FFF2-40B4-BE49-F238E27FC236}">
              <a16:creationId xmlns:a16="http://schemas.microsoft.com/office/drawing/2014/main" id="{822B2521-5F2C-1832-D5ED-7472D5AD80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268887</xdr:colOff>
      <xdr:row>171</xdr:row>
      <xdr:rowOff>110837</xdr:rowOff>
    </xdr:from>
    <xdr:to>
      <xdr:col>11</xdr:col>
      <xdr:colOff>374072</xdr:colOff>
      <xdr:row>176</xdr:row>
      <xdr:rowOff>177558</xdr:rowOff>
    </xdr:to>
    <xdr:graphicFrame macro="">
      <xdr:nvGraphicFramePr>
        <xdr:cNvPr id="16" name="Grafiek 15">
          <a:extLst>
            <a:ext uri="{FF2B5EF4-FFF2-40B4-BE49-F238E27FC236}">
              <a16:creationId xmlns:a16="http://schemas.microsoft.com/office/drawing/2014/main" id="{96966F4B-7427-84CC-1226-93DC4CBD98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15</xdr:col>
      <xdr:colOff>607960</xdr:colOff>
      <xdr:row>174</xdr:row>
      <xdr:rowOff>0</xdr:rowOff>
    </xdr:from>
    <xdr:to>
      <xdr:col>17</xdr:col>
      <xdr:colOff>605772</xdr:colOff>
      <xdr:row>179</xdr:row>
      <xdr:rowOff>174275</xdr:rowOff>
    </xdr:to>
    <xdr:graphicFrame macro="">
      <xdr:nvGraphicFramePr>
        <xdr:cNvPr id="17" name="Grafiek 16">
          <a:extLst>
            <a:ext uri="{FF2B5EF4-FFF2-40B4-BE49-F238E27FC236}">
              <a16:creationId xmlns:a16="http://schemas.microsoft.com/office/drawing/2014/main" id="{8A8BAD02-9CD1-A911-CBAA-4618F80049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13</xdr:col>
      <xdr:colOff>523009</xdr:colOff>
      <xdr:row>173</xdr:row>
      <xdr:rowOff>13854</xdr:rowOff>
    </xdr:from>
    <xdr:to>
      <xdr:col>16</xdr:col>
      <xdr:colOff>138545</xdr:colOff>
      <xdr:row>177</xdr:row>
      <xdr:rowOff>67634</xdr:rowOff>
    </xdr:to>
    <xdr:graphicFrame macro="">
      <xdr:nvGraphicFramePr>
        <xdr:cNvPr id="22" name="Grafiek 21">
          <a:extLst>
            <a:ext uri="{FF2B5EF4-FFF2-40B4-BE49-F238E27FC236}">
              <a16:creationId xmlns:a16="http://schemas.microsoft.com/office/drawing/2014/main" id="{1008F952-2133-550F-D0F1-3453B16568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5</xdr:col>
      <xdr:colOff>484363</xdr:colOff>
      <xdr:row>174</xdr:row>
      <xdr:rowOff>-1</xdr:rowOff>
    </xdr:from>
    <xdr:to>
      <xdr:col>7</xdr:col>
      <xdr:colOff>512618</xdr:colOff>
      <xdr:row>179</xdr:row>
      <xdr:rowOff>121227</xdr:rowOff>
    </xdr:to>
    <xdr:graphicFrame macro="">
      <xdr:nvGraphicFramePr>
        <xdr:cNvPr id="23" name="Grafiek 22">
          <a:extLst>
            <a:ext uri="{FF2B5EF4-FFF2-40B4-BE49-F238E27FC236}">
              <a16:creationId xmlns:a16="http://schemas.microsoft.com/office/drawing/2014/main" id="{44FC9F3E-260A-B426-AA09-354E1F5D30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7</xdr:col>
      <xdr:colOff>129613</xdr:colOff>
      <xdr:row>175</xdr:row>
      <xdr:rowOff>221673</xdr:rowOff>
    </xdr:from>
    <xdr:to>
      <xdr:col>10</xdr:col>
      <xdr:colOff>83127</xdr:colOff>
      <xdr:row>182</xdr:row>
      <xdr:rowOff>157505</xdr:rowOff>
    </xdr:to>
    <xdr:graphicFrame macro="">
      <xdr:nvGraphicFramePr>
        <xdr:cNvPr id="19" name="Grafiek 18">
          <a:extLst>
            <a:ext uri="{FF2B5EF4-FFF2-40B4-BE49-F238E27FC236}">
              <a16:creationId xmlns:a16="http://schemas.microsoft.com/office/drawing/2014/main" id="{0858E564-2774-2B34-3245-25AFE92B9E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11</xdr:col>
      <xdr:colOff>813954</xdr:colOff>
      <xdr:row>174</xdr:row>
      <xdr:rowOff>13855</xdr:rowOff>
    </xdr:from>
    <xdr:to>
      <xdr:col>14</xdr:col>
      <xdr:colOff>138545</xdr:colOff>
      <xdr:row>179</xdr:row>
      <xdr:rowOff>27709</xdr:rowOff>
    </xdr:to>
    <xdr:graphicFrame macro="">
      <xdr:nvGraphicFramePr>
        <xdr:cNvPr id="24" name="Grafiek 23">
          <a:extLst>
            <a:ext uri="{FF2B5EF4-FFF2-40B4-BE49-F238E27FC236}">
              <a16:creationId xmlns:a16="http://schemas.microsoft.com/office/drawing/2014/main" id="{B4DACA14-4FC3-B8CB-063C-E966A5E460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14</xdr:col>
      <xdr:colOff>401781</xdr:colOff>
      <xdr:row>175</xdr:row>
      <xdr:rowOff>124691</xdr:rowOff>
    </xdr:from>
    <xdr:to>
      <xdr:col>17</xdr:col>
      <xdr:colOff>180108</xdr:colOff>
      <xdr:row>182</xdr:row>
      <xdr:rowOff>13854</xdr:rowOff>
    </xdr:to>
    <xdr:graphicFrame macro="">
      <xdr:nvGraphicFramePr>
        <xdr:cNvPr id="20" name="Grafiek 19">
          <a:extLst>
            <a:ext uri="{FF2B5EF4-FFF2-40B4-BE49-F238E27FC236}">
              <a16:creationId xmlns:a16="http://schemas.microsoft.com/office/drawing/2014/main" id="{74580305-D1D3-2572-14B6-70AC84926E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10</xdr:col>
      <xdr:colOff>239536</xdr:colOff>
      <xdr:row>176</xdr:row>
      <xdr:rowOff>41564</xdr:rowOff>
    </xdr:from>
    <xdr:to>
      <xdr:col>12</xdr:col>
      <xdr:colOff>96982</xdr:colOff>
      <xdr:row>182</xdr:row>
      <xdr:rowOff>146569</xdr:rowOff>
    </xdr:to>
    <xdr:graphicFrame macro="">
      <xdr:nvGraphicFramePr>
        <xdr:cNvPr id="21" name="Grafiek 20">
          <a:extLst>
            <a:ext uri="{FF2B5EF4-FFF2-40B4-BE49-F238E27FC236}">
              <a16:creationId xmlns:a16="http://schemas.microsoft.com/office/drawing/2014/main" id="{D960E651-517B-62CD-E718-CD11EA097F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7</xdr:col>
      <xdr:colOff>526472</xdr:colOff>
      <xdr:row>161</xdr:row>
      <xdr:rowOff>175372</xdr:rowOff>
    </xdr:from>
    <xdr:to>
      <xdr:col>16</xdr:col>
      <xdr:colOff>368604</xdr:colOff>
      <xdr:row>167</xdr:row>
      <xdr:rowOff>33362</xdr:rowOff>
    </xdr:to>
    <xdr:graphicFrame macro="">
      <xdr:nvGraphicFramePr>
        <xdr:cNvPr id="25" name="Grafiek 24">
          <a:extLst>
            <a:ext uri="{FF2B5EF4-FFF2-40B4-BE49-F238E27FC236}">
              <a16:creationId xmlns:a16="http://schemas.microsoft.com/office/drawing/2014/main" id="{5D356E1F-1F22-2FC5-C315-B91732F286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7</xdr:col>
      <xdr:colOff>332509</xdr:colOff>
      <xdr:row>172</xdr:row>
      <xdr:rowOff>221674</xdr:rowOff>
    </xdr:from>
    <xdr:to>
      <xdr:col>9</xdr:col>
      <xdr:colOff>568036</xdr:colOff>
      <xdr:row>177</xdr:row>
      <xdr:rowOff>149486</xdr:rowOff>
    </xdr:to>
    <xdr:graphicFrame macro="">
      <xdr:nvGraphicFramePr>
        <xdr:cNvPr id="18" name="Grafiek 17">
          <a:extLst>
            <a:ext uri="{FF2B5EF4-FFF2-40B4-BE49-F238E27FC236}">
              <a16:creationId xmlns:a16="http://schemas.microsoft.com/office/drawing/2014/main" id="{B15C2FB4-12D1-0B49-0D8C-A207EA9D99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0</xdr:col>
      <xdr:colOff>243235</xdr:colOff>
      <xdr:row>87</xdr:row>
      <xdr:rowOff>751</xdr:rowOff>
    </xdr:from>
    <xdr:to>
      <xdr:col>1</xdr:col>
      <xdr:colOff>314713</xdr:colOff>
      <xdr:row>94</xdr:row>
      <xdr:rowOff>144517</xdr:rowOff>
    </xdr:to>
    <xdr:pic>
      <xdr:nvPicPr>
        <xdr:cNvPr id="29" name="Afbeelding 28">
          <a:extLst>
            <a:ext uri="{FF2B5EF4-FFF2-40B4-BE49-F238E27FC236}">
              <a16:creationId xmlns:a16="http://schemas.microsoft.com/office/drawing/2014/main" id="{2631B44A-E34C-1A2D-8912-C011412AE4A1}"/>
            </a:ext>
          </a:extLst>
        </xdr:cNvPr>
        <xdr:cNvPicPr>
          <a:picLocks noChangeAspect="1"/>
        </xdr:cNvPicPr>
      </xdr:nvPicPr>
      <xdr:blipFill>
        <a:blip xmlns:r="http://schemas.openxmlformats.org/officeDocument/2006/relationships" r:embed="rId31"/>
        <a:stretch>
          <a:fillRect/>
        </a:stretch>
      </xdr:blipFill>
      <xdr:spPr>
        <a:xfrm>
          <a:off x="243235" y="18852631"/>
          <a:ext cx="2067918" cy="2064006"/>
        </a:xfrm>
        <a:prstGeom prst="rect">
          <a:avLst/>
        </a:prstGeom>
      </xdr:spPr>
    </xdr:pic>
    <xdr:clientData/>
  </xdr:twoCellAnchor>
  <xdr:twoCellAnchor>
    <xdr:from>
      <xdr:col>7</xdr:col>
      <xdr:colOff>0</xdr:colOff>
      <xdr:row>67</xdr:row>
      <xdr:rowOff>0</xdr:rowOff>
    </xdr:from>
    <xdr:to>
      <xdr:col>10</xdr:col>
      <xdr:colOff>32589</xdr:colOff>
      <xdr:row>68</xdr:row>
      <xdr:rowOff>147415</xdr:rowOff>
    </xdr:to>
    <xdr:sp macro="" textlink="">
      <xdr:nvSpPr>
        <xdr:cNvPr id="31" name="Rechthoek 30">
          <a:hlinkClick xmlns:r="http://schemas.openxmlformats.org/officeDocument/2006/relationships" r:id="rId32"/>
          <a:extLst>
            <a:ext uri="{FF2B5EF4-FFF2-40B4-BE49-F238E27FC236}">
              <a16:creationId xmlns:a16="http://schemas.microsoft.com/office/drawing/2014/main" id="{07B92B83-0383-4C6D-98F5-BCF388505479}"/>
            </a:ext>
          </a:extLst>
        </xdr:cNvPr>
        <xdr:cNvSpPr/>
      </xdr:nvSpPr>
      <xdr:spPr>
        <a:xfrm>
          <a:off x="6106886" y="10929257"/>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Zaai</a:t>
          </a:r>
        </a:p>
      </xdr:txBody>
    </xdr:sp>
    <xdr:clientData/>
  </xdr:twoCellAnchor>
  <xdr:twoCellAnchor>
    <xdr:from>
      <xdr:col>11</xdr:col>
      <xdr:colOff>0</xdr:colOff>
      <xdr:row>67</xdr:row>
      <xdr:rowOff>0</xdr:rowOff>
    </xdr:from>
    <xdr:to>
      <xdr:col>13</xdr:col>
      <xdr:colOff>119675</xdr:colOff>
      <xdr:row>68</xdr:row>
      <xdr:rowOff>147415</xdr:rowOff>
    </xdr:to>
    <xdr:sp macro="" textlink="">
      <xdr:nvSpPr>
        <xdr:cNvPr id="32" name="Rechthoek 31">
          <a:hlinkClick xmlns:r="http://schemas.openxmlformats.org/officeDocument/2006/relationships" r:id="rId33"/>
          <a:extLst>
            <a:ext uri="{FF2B5EF4-FFF2-40B4-BE49-F238E27FC236}">
              <a16:creationId xmlns:a16="http://schemas.microsoft.com/office/drawing/2014/main" id="{7703A9B8-D04E-4BBB-B902-A7D30AB0D092}"/>
            </a:ext>
          </a:extLst>
        </xdr:cNvPr>
        <xdr:cNvSpPr/>
      </xdr:nvSpPr>
      <xdr:spPr>
        <a:xfrm>
          <a:off x="8545286" y="10929257"/>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Nutriëntenbeheer</a:t>
          </a:r>
        </a:p>
      </xdr:txBody>
    </xdr:sp>
    <xdr:clientData/>
  </xdr:twoCellAnchor>
  <xdr:twoCellAnchor>
    <xdr:from>
      <xdr:col>14</xdr:col>
      <xdr:colOff>0</xdr:colOff>
      <xdr:row>67</xdr:row>
      <xdr:rowOff>0</xdr:rowOff>
    </xdr:from>
    <xdr:to>
      <xdr:col>17</xdr:col>
      <xdr:colOff>32589</xdr:colOff>
      <xdr:row>68</xdr:row>
      <xdr:rowOff>147415</xdr:rowOff>
    </xdr:to>
    <xdr:sp macro="" textlink="">
      <xdr:nvSpPr>
        <xdr:cNvPr id="33" name="Rechthoek 32">
          <a:hlinkClick xmlns:r="http://schemas.openxmlformats.org/officeDocument/2006/relationships" r:id="rId34"/>
          <a:extLst>
            <a:ext uri="{FF2B5EF4-FFF2-40B4-BE49-F238E27FC236}">
              <a16:creationId xmlns:a16="http://schemas.microsoft.com/office/drawing/2014/main" id="{97751668-248E-4812-A93D-01F028183C4D}"/>
            </a:ext>
          </a:extLst>
        </xdr:cNvPr>
        <xdr:cNvSpPr/>
      </xdr:nvSpPr>
      <xdr:spPr>
        <a:xfrm>
          <a:off x="10896600" y="10929257"/>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Oogst</a:t>
          </a:r>
        </a:p>
      </xdr:txBody>
    </xdr:sp>
    <xdr:clientData/>
  </xdr:twoCellAnchor>
  <xdr:twoCellAnchor>
    <xdr:from>
      <xdr:col>18</xdr:col>
      <xdr:colOff>0</xdr:colOff>
      <xdr:row>67</xdr:row>
      <xdr:rowOff>0</xdr:rowOff>
    </xdr:from>
    <xdr:to>
      <xdr:col>21</xdr:col>
      <xdr:colOff>32589</xdr:colOff>
      <xdr:row>68</xdr:row>
      <xdr:rowOff>147415</xdr:rowOff>
    </xdr:to>
    <xdr:sp macro="" textlink="">
      <xdr:nvSpPr>
        <xdr:cNvPr id="34" name="Rechthoek 33">
          <a:hlinkClick xmlns:r="http://schemas.openxmlformats.org/officeDocument/2006/relationships" r:id="rId35"/>
          <a:extLst>
            <a:ext uri="{FF2B5EF4-FFF2-40B4-BE49-F238E27FC236}">
              <a16:creationId xmlns:a16="http://schemas.microsoft.com/office/drawing/2014/main" id="{6E91370C-9672-40F7-AC5E-93A7ABC18E96}"/>
            </a:ext>
          </a:extLst>
        </xdr:cNvPr>
        <xdr:cNvSpPr/>
      </xdr:nvSpPr>
      <xdr:spPr>
        <a:xfrm>
          <a:off x="13335000" y="10929257"/>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Weidegang</a:t>
          </a:r>
        </a:p>
      </xdr:txBody>
    </xdr:sp>
    <xdr:clientData/>
  </xdr:twoCellAnchor>
  <xdr:twoCellAnchor>
    <xdr:from>
      <xdr:col>7</xdr:col>
      <xdr:colOff>0</xdr:colOff>
      <xdr:row>69</xdr:row>
      <xdr:rowOff>0</xdr:rowOff>
    </xdr:from>
    <xdr:to>
      <xdr:col>10</xdr:col>
      <xdr:colOff>32589</xdr:colOff>
      <xdr:row>70</xdr:row>
      <xdr:rowOff>147415</xdr:rowOff>
    </xdr:to>
    <xdr:sp macro="" textlink="">
      <xdr:nvSpPr>
        <xdr:cNvPr id="35" name="Rechthoek 34">
          <a:hlinkClick xmlns:r="http://schemas.openxmlformats.org/officeDocument/2006/relationships" r:id="rId36"/>
          <a:extLst>
            <a:ext uri="{FF2B5EF4-FFF2-40B4-BE49-F238E27FC236}">
              <a16:creationId xmlns:a16="http://schemas.microsoft.com/office/drawing/2014/main" id="{B0975495-0722-4722-B8A6-9B7A2122118D}"/>
            </a:ext>
          </a:extLst>
        </xdr:cNvPr>
        <xdr:cNvSpPr/>
      </xdr:nvSpPr>
      <xdr:spPr>
        <a:xfrm>
          <a:off x="6106886" y="11473543"/>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Kwaliteit graskuil</a:t>
          </a:r>
        </a:p>
      </xdr:txBody>
    </xdr:sp>
    <xdr:clientData/>
  </xdr:twoCellAnchor>
  <xdr:twoCellAnchor>
    <xdr:from>
      <xdr:col>11</xdr:col>
      <xdr:colOff>0</xdr:colOff>
      <xdr:row>69</xdr:row>
      <xdr:rowOff>0</xdr:rowOff>
    </xdr:from>
    <xdr:to>
      <xdr:col>13</xdr:col>
      <xdr:colOff>119675</xdr:colOff>
      <xdr:row>70</xdr:row>
      <xdr:rowOff>147415</xdr:rowOff>
    </xdr:to>
    <xdr:sp macro="" textlink="">
      <xdr:nvSpPr>
        <xdr:cNvPr id="36" name="Rechthoek 35">
          <a:hlinkClick xmlns:r="http://schemas.openxmlformats.org/officeDocument/2006/relationships" r:id="rId37"/>
          <a:extLst>
            <a:ext uri="{FF2B5EF4-FFF2-40B4-BE49-F238E27FC236}">
              <a16:creationId xmlns:a16="http://schemas.microsoft.com/office/drawing/2014/main" id="{7C6F1827-7531-4C9A-9DEA-E23FD12909C4}"/>
            </a:ext>
          </a:extLst>
        </xdr:cNvPr>
        <xdr:cNvSpPr/>
      </xdr:nvSpPr>
      <xdr:spPr>
        <a:xfrm>
          <a:off x="8545286" y="11473543"/>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In-uitkuilen</a:t>
          </a:r>
        </a:p>
      </xdr:txBody>
    </xdr:sp>
    <xdr:clientData/>
  </xdr:twoCellAnchor>
  <xdr:twoCellAnchor>
    <xdr:from>
      <xdr:col>14</xdr:col>
      <xdr:colOff>0</xdr:colOff>
      <xdr:row>69</xdr:row>
      <xdr:rowOff>0</xdr:rowOff>
    </xdr:from>
    <xdr:to>
      <xdr:col>17</xdr:col>
      <xdr:colOff>32589</xdr:colOff>
      <xdr:row>70</xdr:row>
      <xdr:rowOff>147415</xdr:rowOff>
    </xdr:to>
    <xdr:sp macro="" textlink="">
      <xdr:nvSpPr>
        <xdr:cNvPr id="37" name="Rechthoek 36">
          <a:hlinkClick xmlns:r="http://schemas.openxmlformats.org/officeDocument/2006/relationships" r:id="rId38"/>
          <a:extLst>
            <a:ext uri="{FF2B5EF4-FFF2-40B4-BE49-F238E27FC236}">
              <a16:creationId xmlns:a16="http://schemas.microsoft.com/office/drawing/2014/main" id="{C8CD30B8-08F7-4829-9700-374DA4F8C608}"/>
            </a:ext>
          </a:extLst>
        </xdr:cNvPr>
        <xdr:cNvSpPr/>
      </xdr:nvSpPr>
      <xdr:spPr>
        <a:xfrm>
          <a:off x="10896600" y="11473543"/>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Graslandonderhoud</a:t>
          </a:r>
        </a:p>
      </xdr:txBody>
    </xdr:sp>
    <xdr:clientData/>
  </xdr:twoCellAnchor>
  <xdr:twoCellAnchor>
    <xdr:from>
      <xdr:col>18</xdr:col>
      <xdr:colOff>0</xdr:colOff>
      <xdr:row>69</xdr:row>
      <xdr:rowOff>0</xdr:rowOff>
    </xdr:from>
    <xdr:to>
      <xdr:col>21</xdr:col>
      <xdr:colOff>32589</xdr:colOff>
      <xdr:row>70</xdr:row>
      <xdr:rowOff>147415</xdr:rowOff>
    </xdr:to>
    <xdr:sp macro="" textlink="">
      <xdr:nvSpPr>
        <xdr:cNvPr id="39" name="Rechthoek 38">
          <a:hlinkClick xmlns:r="http://schemas.openxmlformats.org/officeDocument/2006/relationships" r:id="rId39"/>
          <a:extLst>
            <a:ext uri="{FF2B5EF4-FFF2-40B4-BE49-F238E27FC236}">
              <a16:creationId xmlns:a16="http://schemas.microsoft.com/office/drawing/2014/main" id="{03FE7598-A153-4C8A-8A2B-E718EA0FCD2E}"/>
            </a:ext>
          </a:extLst>
        </xdr:cNvPr>
        <xdr:cNvSpPr/>
      </xdr:nvSpPr>
      <xdr:spPr>
        <a:xfrm>
          <a:off x="13335000" y="11473543"/>
          <a:ext cx="1861389" cy="419558"/>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Waterhuishouding</a:t>
          </a:r>
        </a:p>
      </xdr:txBody>
    </xdr:sp>
    <xdr:clientData/>
  </xdr:twoCellAnchor>
  <xdr:twoCellAnchor editAs="oneCell">
    <xdr:from>
      <xdr:col>0</xdr:col>
      <xdr:colOff>304426</xdr:colOff>
      <xdr:row>79</xdr:row>
      <xdr:rowOff>62288</xdr:rowOff>
    </xdr:from>
    <xdr:to>
      <xdr:col>1</xdr:col>
      <xdr:colOff>197069</xdr:colOff>
      <xdr:row>86</xdr:row>
      <xdr:rowOff>44615</xdr:rowOff>
    </xdr:to>
    <xdr:pic>
      <xdr:nvPicPr>
        <xdr:cNvPr id="42" name="Graphic 4" descr="Calendar">
          <a:extLst>
            <a:ext uri="{FF2B5EF4-FFF2-40B4-BE49-F238E27FC236}">
              <a16:creationId xmlns:a16="http://schemas.microsoft.com/office/drawing/2014/main" id="{CE61C262-0C2B-8E54-FA7F-866EAB3E1B3F}"/>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 uri="{96DAC541-7B7A-43D3-8B79-37D633B846F1}">
              <asvg:svgBlip xmlns:asvg="http://schemas.microsoft.com/office/drawing/2016/SVG/main" r:embed="rId41"/>
            </a:ext>
          </a:extLst>
        </a:blip>
        <a:stretch>
          <a:fillRect/>
        </a:stretch>
      </xdr:blipFill>
      <xdr:spPr>
        <a:xfrm>
          <a:off x="304426" y="14211840"/>
          <a:ext cx="1876471" cy="1821637"/>
        </a:xfrm>
        <a:prstGeom prst="rect">
          <a:avLst/>
        </a:prstGeom>
      </xdr:spPr>
    </xdr:pic>
    <xdr:clientData/>
  </xdr:twoCellAnchor>
  <xdr:twoCellAnchor>
    <xdr:from>
      <xdr:col>0</xdr:col>
      <xdr:colOff>1493781</xdr:colOff>
      <xdr:row>78</xdr:row>
      <xdr:rowOff>205609</xdr:rowOff>
    </xdr:from>
    <xdr:to>
      <xdr:col>1</xdr:col>
      <xdr:colOff>488729</xdr:colOff>
      <xdr:row>82</xdr:row>
      <xdr:rowOff>230570</xdr:rowOff>
    </xdr:to>
    <xdr:graphicFrame macro="">
      <xdr:nvGraphicFramePr>
        <xdr:cNvPr id="43" name="Grafiek 42">
          <a:extLst>
            <a:ext uri="{FF2B5EF4-FFF2-40B4-BE49-F238E27FC236}">
              <a16:creationId xmlns:a16="http://schemas.microsoft.com/office/drawing/2014/main" id="{33A30706-ED84-3D66-CABC-1227E30245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oneCellAnchor>
    <xdr:from>
      <xdr:col>0</xdr:col>
      <xdr:colOff>617482</xdr:colOff>
      <xdr:row>78</xdr:row>
      <xdr:rowOff>65689</xdr:rowOff>
    </xdr:from>
    <xdr:ext cx="1471448" cy="405432"/>
    <xdr:sp macro="" textlink="">
      <xdr:nvSpPr>
        <xdr:cNvPr id="45" name="Tekstvak 44">
          <a:extLst>
            <a:ext uri="{FF2B5EF4-FFF2-40B4-BE49-F238E27FC236}">
              <a16:creationId xmlns:a16="http://schemas.microsoft.com/office/drawing/2014/main" id="{97CA98FE-41B1-551A-62FC-57C65FCFDD0F}"/>
            </a:ext>
          </a:extLst>
        </xdr:cNvPr>
        <xdr:cNvSpPr txBox="1"/>
      </xdr:nvSpPr>
      <xdr:spPr>
        <a:xfrm>
          <a:off x="617482" y="13952482"/>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Zaaidatum</a:t>
          </a:r>
        </a:p>
      </xdr:txBody>
    </xdr:sp>
    <xdr:clientData/>
  </xdr:oneCellAnchor>
  <xdr:oneCellAnchor>
    <xdr:from>
      <xdr:col>0</xdr:col>
      <xdr:colOff>585951</xdr:colOff>
      <xdr:row>86</xdr:row>
      <xdr:rowOff>112985</xdr:rowOff>
    </xdr:from>
    <xdr:ext cx="1471448" cy="405432"/>
    <xdr:sp macro="" textlink="">
      <xdr:nvSpPr>
        <xdr:cNvPr id="46" name="Tekstvak 45">
          <a:extLst>
            <a:ext uri="{FF2B5EF4-FFF2-40B4-BE49-F238E27FC236}">
              <a16:creationId xmlns:a16="http://schemas.microsoft.com/office/drawing/2014/main" id="{EE852BCE-A2FF-4944-92C6-483DBFB4C534}"/>
            </a:ext>
          </a:extLst>
        </xdr:cNvPr>
        <xdr:cNvSpPr txBox="1"/>
      </xdr:nvSpPr>
      <xdr:spPr>
        <a:xfrm>
          <a:off x="585951" y="16101847"/>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Zaaidiepte</a:t>
          </a:r>
        </a:p>
      </xdr:txBody>
    </xdr:sp>
    <xdr:clientData/>
  </xdr:oneCellAnchor>
  <xdr:twoCellAnchor>
    <xdr:from>
      <xdr:col>0</xdr:col>
      <xdr:colOff>1392620</xdr:colOff>
      <xdr:row>78</xdr:row>
      <xdr:rowOff>183930</xdr:rowOff>
    </xdr:from>
    <xdr:to>
      <xdr:col>1</xdr:col>
      <xdr:colOff>387568</xdr:colOff>
      <xdr:row>82</xdr:row>
      <xdr:rowOff>208891</xdr:rowOff>
    </xdr:to>
    <xdr:graphicFrame macro="">
      <xdr:nvGraphicFramePr>
        <xdr:cNvPr id="47" name="Grafiek 46">
          <a:extLst>
            <a:ext uri="{FF2B5EF4-FFF2-40B4-BE49-F238E27FC236}">
              <a16:creationId xmlns:a16="http://schemas.microsoft.com/office/drawing/2014/main" id="{115EE38D-AAC9-4AF1-82D5-0FC68B5CC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1341383</xdr:colOff>
      <xdr:row>79</xdr:row>
      <xdr:rowOff>656</xdr:rowOff>
    </xdr:from>
    <xdr:to>
      <xdr:col>1</xdr:col>
      <xdr:colOff>493986</xdr:colOff>
      <xdr:row>83</xdr:row>
      <xdr:rowOff>25617</xdr:rowOff>
    </xdr:to>
    <xdr:graphicFrame macro="">
      <xdr:nvGraphicFramePr>
        <xdr:cNvPr id="48" name="Grafiek 47">
          <a:extLst>
            <a:ext uri="{FF2B5EF4-FFF2-40B4-BE49-F238E27FC236}">
              <a16:creationId xmlns:a16="http://schemas.microsoft.com/office/drawing/2014/main" id="{69F16FDE-45F1-48F2-8414-A4E3B527A8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1390650</xdr:colOff>
      <xdr:row>87</xdr:row>
      <xdr:rowOff>0</xdr:rowOff>
    </xdr:from>
    <xdr:to>
      <xdr:col>1</xdr:col>
      <xdr:colOff>543253</xdr:colOff>
      <xdr:row>91</xdr:row>
      <xdr:rowOff>24961</xdr:rowOff>
    </xdr:to>
    <xdr:graphicFrame macro="">
      <xdr:nvGraphicFramePr>
        <xdr:cNvPr id="49" name="Grafiek 48">
          <a:extLst>
            <a:ext uri="{FF2B5EF4-FFF2-40B4-BE49-F238E27FC236}">
              <a16:creationId xmlns:a16="http://schemas.microsoft.com/office/drawing/2014/main" id="{82E6ADE4-210E-4B69-A091-E341F07AFD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1458191</xdr:colOff>
      <xdr:row>86</xdr:row>
      <xdr:rowOff>154131</xdr:rowOff>
    </xdr:from>
    <xdr:to>
      <xdr:col>1</xdr:col>
      <xdr:colOff>453139</xdr:colOff>
      <xdr:row>90</xdr:row>
      <xdr:rowOff>179092</xdr:rowOff>
    </xdr:to>
    <xdr:graphicFrame macro="">
      <xdr:nvGraphicFramePr>
        <xdr:cNvPr id="51" name="Grafiek 50">
          <a:extLst>
            <a:ext uri="{FF2B5EF4-FFF2-40B4-BE49-F238E27FC236}">
              <a16:creationId xmlns:a16="http://schemas.microsoft.com/office/drawing/2014/main" id="{437D2D26-A9D7-4265-A5B1-938DC5D8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1430481</xdr:colOff>
      <xdr:row>91</xdr:row>
      <xdr:rowOff>214746</xdr:rowOff>
    </xdr:from>
    <xdr:to>
      <xdr:col>1</xdr:col>
      <xdr:colOff>425429</xdr:colOff>
      <xdr:row>95</xdr:row>
      <xdr:rowOff>239707</xdr:rowOff>
    </xdr:to>
    <xdr:graphicFrame macro="">
      <xdr:nvGraphicFramePr>
        <xdr:cNvPr id="52" name="Grafiek 51">
          <a:extLst>
            <a:ext uri="{FF2B5EF4-FFF2-40B4-BE49-F238E27FC236}">
              <a16:creationId xmlns:a16="http://schemas.microsoft.com/office/drawing/2014/main" id="{871CA606-4FA2-464B-9199-EF1873FDE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3</xdr:col>
      <xdr:colOff>138545</xdr:colOff>
      <xdr:row>82</xdr:row>
      <xdr:rowOff>113469</xdr:rowOff>
    </xdr:from>
    <xdr:to>
      <xdr:col>5</xdr:col>
      <xdr:colOff>429702</xdr:colOff>
      <xdr:row>89</xdr:row>
      <xdr:rowOff>249383</xdr:rowOff>
    </xdr:to>
    <xdr:pic>
      <xdr:nvPicPr>
        <xdr:cNvPr id="54" name="Afbeelding 53">
          <a:extLst>
            <a:ext uri="{FF2B5EF4-FFF2-40B4-BE49-F238E27FC236}">
              <a16:creationId xmlns:a16="http://schemas.microsoft.com/office/drawing/2014/main" id="{F44BABF0-BFC1-47FC-F39D-79FA11E8A2B2}"/>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3491345" y="14868560"/>
          <a:ext cx="1510357" cy="1978568"/>
        </a:xfrm>
        <a:prstGeom prst="rect">
          <a:avLst/>
        </a:prstGeom>
      </xdr:spPr>
    </xdr:pic>
    <xdr:clientData/>
  </xdr:twoCellAnchor>
  <xdr:oneCellAnchor>
    <xdr:from>
      <xdr:col>3</xdr:col>
      <xdr:colOff>360217</xdr:colOff>
      <xdr:row>80</xdr:row>
      <xdr:rowOff>221674</xdr:rowOff>
    </xdr:from>
    <xdr:ext cx="1471448" cy="405432"/>
    <xdr:sp macro="" textlink="">
      <xdr:nvSpPr>
        <xdr:cNvPr id="55" name="Tekstvak 54">
          <a:extLst>
            <a:ext uri="{FF2B5EF4-FFF2-40B4-BE49-F238E27FC236}">
              <a16:creationId xmlns:a16="http://schemas.microsoft.com/office/drawing/2014/main" id="{A9B813CF-4532-4A74-BCF9-50EAB2E4E46E}"/>
            </a:ext>
          </a:extLst>
        </xdr:cNvPr>
        <xdr:cNvSpPr txBox="1"/>
      </xdr:nvSpPr>
      <xdr:spPr>
        <a:xfrm>
          <a:off x="3713017" y="14450292"/>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Zaaizaad</a:t>
          </a:r>
        </a:p>
      </xdr:txBody>
    </xdr:sp>
    <xdr:clientData/>
  </xdr:oneCellAnchor>
  <xdr:twoCellAnchor>
    <xdr:from>
      <xdr:col>2</xdr:col>
      <xdr:colOff>401781</xdr:colOff>
      <xdr:row>86</xdr:row>
      <xdr:rowOff>221681</xdr:rowOff>
    </xdr:from>
    <xdr:to>
      <xdr:col>4</xdr:col>
      <xdr:colOff>69272</xdr:colOff>
      <xdr:row>91</xdr:row>
      <xdr:rowOff>235535</xdr:rowOff>
    </xdr:to>
    <xdr:graphicFrame macro="">
      <xdr:nvGraphicFramePr>
        <xdr:cNvPr id="56" name="Grafiek 55">
          <a:extLst>
            <a:ext uri="{FF2B5EF4-FFF2-40B4-BE49-F238E27FC236}">
              <a16:creationId xmlns:a16="http://schemas.microsoft.com/office/drawing/2014/main" id="{3CBA85E8-FC91-F799-566C-85711F58E4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4</xdr:col>
      <xdr:colOff>554175</xdr:colOff>
      <xdr:row>86</xdr:row>
      <xdr:rowOff>55420</xdr:rowOff>
    </xdr:from>
    <xdr:to>
      <xdr:col>6</xdr:col>
      <xdr:colOff>41556</xdr:colOff>
      <xdr:row>91</xdr:row>
      <xdr:rowOff>69274</xdr:rowOff>
    </xdr:to>
    <xdr:graphicFrame macro="">
      <xdr:nvGraphicFramePr>
        <xdr:cNvPr id="57" name="Grafiek 56">
          <a:extLst>
            <a:ext uri="{FF2B5EF4-FFF2-40B4-BE49-F238E27FC236}">
              <a16:creationId xmlns:a16="http://schemas.microsoft.com/office/drawing/2014/main" id="{3457585B-563A-4BA5-8149-328FE2AFEB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4</xdr:col>
      <xdr:colOff>55419</xdr:colOff>
      <xdr:row>87</xdr:row>
      <xdr:rowOff>1</xdr:rowOff>
    </xdr:from>
    <xdr:to>
      <xdr:col>5</xdr:col>
      <xdr:colOff>471055</xdr:colOff>
      <xdr:row>92</xdr:row>
      <xdr:rowOff>13855</xdr:rowOff>
    </xdr:to>
    <xdr:graphicFrame macro="">
      <xdr:nvGraphicFramePr>
        <xdr:cNvPr id="59" name="Grafiek 58">
          <a:extLst>
            <a:ext uri="{FF2B5EF4-FFF2-40B4-BE49-F238E27FC236}">
              <a16:creationId xmlns:a16="http://schemas.microsoft.com/office/drawing/2014/main" id="{DE88A6E7-BEFB-4934-9BEC-61774FC959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3</xdr:col>
      <xdr:colOff>138546</xdr:colOff>
      <xdr:row>87</xdr:row>
      <xdr:rowOff>83128</xdr:rowOff>
    </xdr:from>
    <xdr:to>
      <xdr:col>4</xdr:col>
      <xdr:colOff>554182</xdr:colOff>
      <xdr:row>92</xdr:row>
      <xdr:rowOff>96982</xdr:rowOff>
    </xdr:to>
    <xdr:graphicFrame macro="">
      <xdr:nvGraphicFramePr>
        <xdr:cNvPr id="58" name="Grafiek 57">
          <a:extLst>
            <a:ext uri="{FF2B5EF4-FFF2-40B4-BE49-F238E27FC236}">
              <a16:creationId xmlns:a16="http://schemas.microsoft.com/office/drawing/2014/main" id="{BD43635B-49FF-466B-AD2C-AA6CF90AA8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4</xdr:col>
      <xdr:colOff>457201</xdr:colOff>
      <xdr:row>81</xdr:row>
      <xdr:rowOff>110836</xdr:rowOff>
    </xdr:from>
    <xdr:to>
      <xdr:col>6</xdr:col>
      <xdr:colOff>67004</xdr:colOff>
      <xdr:row>85</xdr:row>
      <xdr:rowOff>135797</xdr:rowOff>
    </xdr:to>
    <xdr:graphicFrame macro="">
      <xdr:nvGraphicFramePr>
        <xdr:cNvPr id="60" name="Grafiek 59">
          <a:extLst>
            <a:ext uri="{FF2B5EF4-FFF2-40B4-BE49-F238E27FC236}">
              <a16:creationId xmlns:a16="http://schemas.microsoft.com/office/drawing/2014/main" id="{8A0BDFF4-982B-4437-BB22-0A138AED7F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4</xdr:col>
      <xdr:colOff>443345</xdr:colOff>
      <xdr:row>81</xdr:row>
      <xdr:rowOff>124691</xdr:rowOff>
    </xdr:from>
    <xdr:to>
      <xdr:col>5</xdr:col>
      <xdr:colOff>823748</xdr:colOff>
      <xdr:row>85</xdr:row>
      <xdr:rowOff>149653</xdr:rowOff>
    </xdr:to>
    <xdr:graphicFrame macro="">
      <xdr:nvGraphicFramePr>
        <xdr:cNvPr id="61" name="Grafiek 60">
          <a:extLst>
            <a:ext uri="{FF2B5EF4-FFF2-40B4-BE49-F238E27FC236}">
              <a16:creationId xmlns:a16="http://schemas.microsoft.com/office/drawing/2014/main" id="{9BBE1A2E-7B76-474B-AA51-BA6BBF6998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4</xdr:col>
      <xdr:colOff>498764</xdr:colOff>
      <xdr:row>81</xdr:row>
      <xdr:rowOff>-1</xdr:rowOff>
    </xdr:from>
    <xdr:to>
      <xdr:col>5</xdr:col>
      <xdr:colOff>879167</xdr:colOff>
      <xdr:row>85</xdr:row>
      <xdr:rowOff>24961</xdr:rowOff>
    </xdr:to>
    <xdr:graphicFrame macro="">
      <xdr:nvGraphicFramePr>
        <xdr:cNvPr id="62" name="Grafiek 61">
          <a:extLst>
            <a:ext uri="{FF2B5EF4-FFF2-40B4-BE49-F238E27FC236}">
              <a16:creationId xmlns:a16="http://schemas.microsoft.com/office/drawing/2014/main" id="{F237D699-9E58-483F-94E7-ACB7B5F14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editAs="oneCell">
    <xdr:from>
      <xdr:col>0</xdr:col>
      <xdr:colOff>259081</xdr:colOff>
      <xdr:row>98</xdr:row>
      <xdr:rowOff>167640</xdr:rowOff>
    </xdr:from>
    <xdr:to>
      <xdr:col>1</xdr:col>
      <xdr:colOff>79843</xdr:colOff>
      <xdr:row>105</xdr:row>
      <xdr:rowOff>167639</xdr:rowOff>
    </xdr:to>
    <xdr:pic>
      <xdr:nvPicPr>
        <xdr:cNvPr id="64" name="Afbeelding 63">
          <a:extLst>
            <a:ext uri="{FF2B5EF4-FFF2-40B4-BE49-F238E27FC236}">
              <a16:creationId xmlns:a16="http://schemas.microsoft.com/office/drawing/2014/main" id="{8662E003-47C9-7F0F-8DF2-C6BBAE90F3A8}"/>
            </a:ext>
          </a:extLst>
        </xdr:cNvPr>
        <xdr:cNvPicPr>
          <a:picLocks noChangeAspect="1"/>
        </xdr:cNvPicPr>
      </xdr:nvPicPr>
      <xdr:blipFill>
        <a:blip xmlns:r="http://schemas.openxmlformats.org/officeDocument/2006/relationships" r:embed="rId56">
          <a:duotone>
            <a:schemeClr val="accent6">
              <a:shade val="45000"/>
              <a:satMod val="135000"/>
            </a:schemeClr>
            <a:prstClr val="white"/>
          </a:duotone>
          <a:extLst>
            <a:ext uri="{BEBA8EAE-BF5A-486C-A8C5-ECC9F3942E4B}">
              <a14:imgProps xmlns:a14="http://schemas.microsoft.com/office/drawing/2010/main">
                <a14:imgLayer r:embed="rId57">
                  <a14:imgEffect>
                    <a14:colorTemperature colorTemp="5900"/>
                  </a14:imgEffect>
                  <a14:imgEffect>
                    <a14:saturation sat="0"/>
                  </a14:imgEffect>
                </a14:imgLayer>
              </a14:imgProps>
            </a:ext>
          </a:extLst>
        </a:blip>
        <a:stretch>
          <a:fillRect/>
        </a:stretch>
      </xdr:blipFill>
      <xdr:spPr>
        <a:xfrm>
          <a:off x="259081" y="24384000"/>
          <a:ext cx="1817202" cy="1920239"/>
        </a:xfrm>
        <a:prstGeom prst="rect">
          <a:avLst/>
        </a:prstGeom>
      </xdr:spPr>
    </xdr:pic>
    <xdr:clientData/>
  </xdr:twoCellAnchor>
  <xdr:oneCellAnchor>
    <xdr:from>
      <xdr:col>0</xdr:col>
      <xdr:colOff>228600</xdr:colOff>
      <xdr:row>97</xdr:row>
      <xdr:rowOff>152400</xdr:rowOff>
    </xdr:from>
    <xdr:ext cx="1471448" cy="405432"/>
    <xdr:sp macro="" textlink="">
      <xdr:nvSpPr>
        <xdr:cNvPr id="65" name="Tekstvak 64">
          <a:extLst>
            <a:ext uri="{FF2B5EF4-FFF2-40B4-BE49-F238E27FC236}">
              <a16:creationId xmlns:a16="http://schemas.microsoft.com/office/drawing/2014/main" id="{BD7C9848-74B8-434B-A53F-73DBAFF60230}"/>
            </a:ext>
          </a:extLst>
        </xdr:cNvPr>
        <xdr:cNvSpPr txBox="1"/>
      </xdr:nvSpPr>
      <xdr:spPr>
        <a:xfrm>
          <a:off x="228600" y="24094440"/>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Bodemstaal</a:t>
          </a:r>
        </a:p>
      </xdr:txBody>
    </xdr:sp>
    <xdr:clientData/>
  </xdr:oneCellAnchor>
  <xdr:twoCellAnchor editAs="oneCell">
    <xdr:from>
      <xdr:col>0</xdr:col>
      <xdr:colOff>289560</xdr:colOff>
      <xdr:row>108</xdr:row>
      <xdr:rowOff>243841</xdr:rowOff>
    </xdr:from>
    <xdr:to>
      <xdr:col>0</xdr:col>
      <xdr:colOff>1928670</xdr:colOff>
      <xdr:row>115</xdr:row>
      <xdr:rowOff>152401</xdr:rowOff>
    </xdr:to>
    <xdr:pic>
      <xdr:nvPicPr>
        <xdr:cNvPr id="66" name="Afbeelding 65">
          <a:extLst>
            <a:ext uri="{FF2B5EF4-FFF2-40B4-BE49-F238E27FC236}">
              <a16:creationId xmlns:a16="http://schemas.microsoft.com/office/drawing/2014/main" id="{19716F43-EE70-E05B-9362-67EA7FD21446}"/>
            </a:ext>
          </a:extLst>
        </xdr:cNvPr>
        <xdr:cNvPicPr>
          <a:picLocks noChangeAspect="1"/>
        </xdr:cNvPicPr>
      </xdr:nvPicPr>
      <xdr:blipFill>
        <a:blip xmlns:r="http://schemas.openxmlformats.org/officeDocument/2006/relationships" r:embed="rId58">
          <a:duotone>
            <a:schemeClr val="accent6">
              <a:shade val="45000"/>
              <a:satMod val="135000"/>
            </a:schemeClr>
            <a:prstClr val="white"/>
          </a:duotone>
          <a:extLst>
            <a:ext uri="{BEBA8EAE-BF5A-486C-A8C5-ECC9F3942E4B}">
              <a14:imgProps xmlns:a14="http://schemas.microsoft.com/office/drawing/2010/main">
                <a14:imgLayer r:embed="rId59">
                  <a14:imgEffect>
                    <a14:saturation sat="33000"/>
                  </a14:imgEffect>
                </a14:imgLayer>
              </a14:imgProps>
            </a:ext>
          </a:extLst>
        </a:blip>
        <a:stretch>
          <a:fillRect/>
        </a:stretch>
      </xdr:blipFill>
      <xdr:spPr>
        <a:xfrm>
          <a:off x="289560" y="27203401"/>
          <a:ext cx="1639110" cy="1828800"/>
        </a:xfrm>
        <a:prstGeom prst="rect">
          <a:avLst/>
        </a:prstGeom>
      </xdr:spPr>
    </xdr:pic>
    <xdr:clientData/>
  </xdr:twoCellAnchor>
  <xdr:oneCellAnchor>
    <xdr:from>
      <xdr:col>0</xdr:col>
      <xdr:colOff>304800</xdr:colOff>
      <xdr:row>107</xdr:row>
      <xdr:rowOff>137160</xdr:rowOff>
    </xdr:from>
    <xdr:ext cx="1471448" cy="405432"/>
    <xdr:sp macro="" textlink="">
      <xdr:nvSpPr>
        <xdr:cNvPr id="67" name="Tekstvak 66">
          <a:extLst>
            <a:ext uri="{FF2B5EF4-FFF2-40B4-BE49-F238E27FC236}">
              <a16:creationId xmlns:a16="http://schemas.microsoft.com/office/drawing/2014/main" id="{B499246B-A75A-45FF-AAD6-1842969BA0DE}"/>
            </a:ext>
          </a:extLst>
        </xdr:cNvPr>
        <xdr:cNvSpPr txBox="1"/>
      </xdr:nvSpPr>
      <xdr:spPr>
        <a:xfrm>
          <a:off x="304800" y="26822400"/>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Meststaal</a:t>
          </a:r>
        </a:p>
      </xdr:txBody>
    </xdr:sp>
    <xdr:clientData/>
  </xdr:oneCellAnchor>
  <xdr:twoCellAnchor>
    <xdr:from>
      <xdr:col>0</xdr:col>
      <xdr:colOff>1417320</xdr:colOff>
      <xdr:row>97</xdr:row>
      <xdr:rowOff>121920</xdr:rowOff>
    </xdr:from>
    <xdr:to>
      <xdr:col>1</xdr:col>
      <xdr:colOff>412268</xdr:colOff>
      <xdr:row>101</xdr:row>
      <xdr:rowOff>146881</xdr:rowOff>
    </xdr:to>
    <xdr:graphicFrame macro="">
      <xdr:nvGraphicFramePr>
        <xdr:cNvPr id="77" name="Grafiek 76">
          <a:extLst>
            <a:ext uri="{FF2B5EF4-FFF2-40B4-BE49-F238E27FC236}">
              <a16:creationId xmlns:a16="http://schemas.microsoft.com/office/drawing/2014/main" id="{673300AD-1FEF-4D25-BBD6-021A4200A9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1402080</xdr:colOff>
      <xdr:row>97</xdr:row>
      <xdr:rowOff>121920</xdr:rowOff>
    </xdr:from>
    <xdr:to>
      <xdr:col>1</xdr:col>
      <xdr:colOff>397028</xdr:colOff>
      <xdr:row>101</xdr:row>
      <xdr:rowOff>146881</xdr:rowOff>
    </xdr:to>
    <xdr:graphicFrame macro="">
      <xdr:nvGraphicFramePr>
        <xdr:cNvPr id="78" name="Grafiek 77">
          <a:extLst>
            <a:ext uri="{FF2B5EF4-FFF2-40B4-BE49-F238E27FC236}">
              <a16:creationId xmlns:a16="http://schemas.microsoft.com/office/drawing/2014/main" id="{EA249BA4-0C65-44F5-BBE9-4DC0E7D849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1249680</xdr:colOff>
      <xdr:row>107</xdr:row>
      <xdr:rowOff>167640</xdr:rowOff>
    </xdr:from>
    <xdr:to>
      <xdr:col>1</xdr:col>
      <xdr:colOff>244628</xdr:colOff>
      <xdr:row>111</xdr:row>
      <xdr:rowOff>192601</xdr:rowOff>
    </xdr:to>
    <xdr:graphicFrame macro="">
      <xdr:nvGraphicFramePr>
        <xdr:cNvPr id="79" name="Grafiek 78">
          <a:extLst>
            <a:ext uri="{FF2B5EF4-FFF2-40B4-BE49-F238E27FC236}">
              <a16:creationId xmlns:a16="http://schemas.microsoft.com/office/drawing/2014/main" id="{B17785AB-0DA0-40DE-B735-02FBF39FF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1219200</xdr:colOff>
      <xdr:row>107</xdr:row>
      <xdr:rowOff>106680</xdr:rowOff>
    </xdr:from>
    <xdr:to>
      <xdr:col>1</xdr:col>
      <xdr:colOff>214148</xdr:colOff>
      <xdr:row>111</xdr:row>
      <xdr:rowOff>131641</xdr:rowOff>
    </xdr:to>
    <xdr:graphicFrame macro="">
      <xdr:nvGraphicFramePr>
        <xdr:cNvPr id="80" name="Grafiek 79">
          <a:extLst>
            <a:ext uri="{FF2B5EF4-FFF2-40B4-BE49-F238E27FC236}">
              <a16:creationId xmlns:a16="http://schemas.microsoft.com/office/drawing/2014/main" id="{BF3959B4-D478-4BB8-8508-BB192CF54A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5</xdr:col>
      <xdr:colOff>259080</xdr:colOff>
      <xdr:row>97</xdr:row>
      <xdr:rowOff>0</xdr:rowOff>
    </xdr:from>
    <xdr:to>
      <xdr:col>6</xdr:col>
      <xdr:colOff>320828</xdr:colOff>
      <xdr:row>101</xdr:row>
      <xdr:rowOff>24961</xdr:rowOff>
    </xdr:to>
    <xdr:graphicFrame macro="">
      <xdr:nvGraphicFramePr>
        <xdr:cNvPr id="81" name="Grafiek 80">
          <a:extLst>
            <a:ext uri="{FF2B5EF4-FFF2-40B4-BE49-F238E27FC236}">
              <a16:creationId xmlns:a16="http://schemas.microsoft.com/office/drawing/2014/main" id="{D4995713-B9F1-4BC6-9651-10FA7A8EC6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5</xdr:col>
      <xdr:colOff>259080</xdr:colOff>
      <xdr:row>97</xdr:row>
      <xdr:rowOff>15240</xdr:rowOff>
    </xdr:from>
    <xdr:to>
      <xdr:col>6</xdr:col>
      <xdr:colOff>518160</xdr:colOff>
      <xdr:row>101</xdr:row>
      <xdr:rowOff>40201</xdr:rowOff>
    </xdr:to>
    <xdr:graphicFrame macro="">
      <xdr:nvGraphicFramePr>
        <xdr:cNvPr id="82" name="Grafiek 81">
          <a:extLst>
            <a:ext uri="{FF2B5EF4-FFF2-40B4-BE49-F238E27FC236}">
              <a16:creationId xmlns:a16="http://schemas.microsoft.com/office/drawing/2014/main" id="{C7DEA402-D792-4EAE-884A-D0D5A23348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5</xdr:col>
      <xdr:colOff>350520</xdr:colOff>
      <xdr:row>97</xdr:row>
      <xdr:rowOff>106680</xdr:rowOff>
    </xdr:from>
    <xdr:to>
      <xdr:col>6</xdr:col>
      <xdr:colOff>412268</xdr:colOff>
      <xdr:row>101</xdr:row>
      <xdr:rowOff>131641</xdr:rowOff>
    </xdr:to>
    <xdr:graphicFrame macro="">
      <xdr:nvGraphicFramePr>
        <xdr:cNvPr id="83" name="Grafiek 82">
          <a:extLst>
            <a:ext uri="{FF2B5EF4-FFF2-40B4-BE49-F238E27FC236}">
              <a16:creationId xmlns:a16="http://schemas.microsoft.com/office/drawing/2014/main" id="{C017F688-0292-4C8B-9296-08F623D32E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2</xdr:col>
      <xdr:colOff>137160</xdr:colOff>
      <xdr:row>107</xdr:row>
      <xdr:rowOff>205740</xdr:rowOff>
    </xdr:from>
    <xdr:to>
      <xdr:col>3</xdr:col>
      <xdr:colOff>594360</xdr:colOff>
      <xdr:row>112</xdr:row>
      <xdr:rowOff>106680</xdr:rowOff>
    </xdr:to>
    <xdr:graphicFrame macro="">
      <xdr:nvGraphicFramePr>
        <xdr:cNvPr id="85" name="Grafiek 84">
          <a:extLst>
            <a:ext uri="{FF2B5EF4-FFF2-40B4-BE49-F238E27FC236}">
              <a16:creationId xmlns:a16="http://schemas.microsoft.com/office/drawing/2014/main" id="{09C0E4F4-60F8-757C-2636-92A40C750D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5</xdr:col>
      <xdr:colOff>60960</xdr:colOff>
      <xdr:row>107</xdr:row>
      <xdr:rowOff>83820</xdr:rowOff>
    </xdr:from>
    <xdr:to>
      <xdr:col>6</xdr:col>
      <xdr:colOff>335280</xdr:colOff>
      <xdr:row>111</xdr:row>
      <xdr:rowOff>213360</xdr:rowOff>
    </xdr:to>
    <xdr:graphicFrame macro="">
      <xdr:nvGraphicFramePr>
        <xdr:cNvPr id="86" name="Grafiek 85">
          <a:extLst>
            <a:ext uri="{FF2B5EF4-FFF2-40B4-BE49-F238E27FC236}">
              <a16:creationId xmlns:a16="http://schemas.microsoft.com/office/drawing/2014/main" id="{DDFBC606-3F40-C31F-FCD3-BE7A75D174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4</xdr:col>
      <xdr:colOff>152400</xdr:colOff>
      <xdr:row>112</xdr:row>
      <xdr:rowOff>0</xdr:rowOff>
    </xdr:from>
    <xdr:to>
      <xdr:col>5</xdr:col>
      <xdr:colOff>746760</xdr:colOff>
      <xdr:row>116</xdr:row>
      <xdr:rowOff>121920</xdr:rowOff>
    </xdr:to>
    <xdr:graphicFrame macro="">
      <xdr:nvGraphicFramePr>
        <xdr:cNvPr id="87" name="Grafiek 86">
          <a:extLst>
            <a:ext uri="{FF2B5EF4-FFF2-40B4-BE49-F238E27FC236}">
              <a16:creationId xmlns:a16="http://schemas.microsoft.com/office/drawing/2014/main" id="{88CF9BFD-9470-F7F9-2720-E84864E516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2</xdr:col>
      <xdr:colOff>716280</xdr:colOff>
      <xdr:row>110</xdr:row>
      <xdr:rowOff>259080</xdr:rowOff>
    </xdr:from>
    <xdr:to>
      <xdr:col>4</xdr:col>
      <xdr:colOff>274320</xdr:colOff>
      <xdr:row>114</xdr:row>
      <xdr:rowOff>198120</xdr:rowOff>
    </xdr:to>
    <xdr:graphicFrame macro="">
      <xdr:nvGraphicFramePr>
        <xdr:cNvPr id="88" name="Grafiek 87">
          <a:extLst>
            <a:ext uri="{FF2B5EF4-FFF2-40B4-BE49-F238E27FC236}">
              <a16:creationId xmlns:a16="http://schemas.microsoft.com/office/drawing/2014/main" id="{3A5E3104-6485-E53C-5EE1-27269C3BC2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3</xdr:col>
      <xdr:colOff>350520</xdr:colOff>
      <xdr:row>108</xdr:row>
      <xdr:rowOff>228600</xdr:rowOff>
    </xdr:from>
    <xdr:to>
      <xdr:col>5</xdr:col>
      <xdr:colOff>335280</xdr:colOff>
      <xdr:row>112</xdr:row>
      <xdr:rowOff>167640</xdr:rowOff>
    </xdr:to>
    <xdr:graphicFrame macro="">
      <xdr:nvGraphicFramePr>
        <xdr:cNvPr id="89" name="Grafiek 88">
          <a:extLst>
            <a:ext uri="{FF2B5EF4-FFF2-40B4-BE49-F238E27FC236}">
              <a16:creationId xmlns:a16="http://schemas.microsoft.com/office/drawing/2014/main" id="{D9B9DC5D-7B77-31D0-513D-DDF280EFBD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5</xdr:col>
      <xdr:colOff>396240</xdr:colOff>
      <xdr:row>110</xdr:row>
      <xdr:rowOff>251460</xdr:rowOff>
    </xdr:from>
    <xdr:to>
      <xdr:col>7</xdr:col>
      <xdr:colOff>15240</xdr:colOff>
      <xdr:row>114</xdr:row>
      <xdr:rowOff>213360</xdr:rowOff>
    </xdr:to>
    <xdr:graphicFrame macro="">
      <xdr:nvGraphicFramePr>
        <xdr:cNvPr id="90" name="Grafiek 89">
          <a:extLst>
            <a:ext uri="{FF2B5EF4-FFF2-40B4-BE49-F238E27FC236}">
              <a16:creationId xmlns:a16="http://schemas.microsoft.com/office/drawing/2014/main" id="{4D077110-B55F-9016-985C-231BAB894F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2</xdr:col>
      <xdr:colOff>239484</xdr:colOff>
      <xdr:row>113</xdr:row>
      <xdr:rowOff>10885</xdr:rowOff>
    </xdr:from>
    <xdr:to>
      <xdr:col>3</xdr:col>
      <xdr:colOff>470261</xdr:colOff>
      <xdr:row>116</xdr:row>
      <xdr:rowOff>93616</xdr:rowOff>
    </xdr:to>
    <xdr:graphicFrame macro="">
      <xdr:nvGraphicFramePr>
        <xdr:cNvPr id="91" name="Grafiek 90">
          <a:extLst>
            <a:ext uri="{FF2B5EF4-FFF2-40B4-BE49-F238E27FC236}">
              <a16:creationId xmlns:a16="http://schemas.microsoft.com/office/drawing/2014/main" id="{B364F35B-5A69-C4B9-685D-02CAF9B7D4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oneCellAnchor>
    <xdr:from>
      <xdr:col>0</xdr:col>
      <xdr:colOff>1510156</xdr:colOff>
      <xdr:row>131</xdr:row>
      <xdr:rowOff>0</xdr:rowOff>
    </xdr:from>
    <xdr:ext cx="1471448" cy="405432"/>
    <xdr:sp macro="" textlink="">
      <xdr:nvSpPr>
        <xdr:cNvPr id="3" name="Tekstvak 2">
          <a:extLst>
            <a:ext uri="{FF2B5EF4-FFF2-40B4-BE49-F238E27FC236}">
              <a16:creationId xmlns:a16="http://schemas.microsoft.com/office/drawing/2014/main" id="{674FFF72-F782-497C-9FA1-55550DC43A2B}"/>
            </a:ext>
          </a:extLst>
        </xdr:cNvPr>
        <xdr:cNvSpPr txBox="1"/>
      </xdr:nvSpPr>
      <xdr:spPr>
        <a:xfrm>
          <a:off x="1510156" y="30826364"/>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Maaihoogte</a:t>
          </a:r>
        </a:p>
      </xdr:txBody>
    </xdr:sp>
    <xdr:clientData/>
  </xdr:oneCellAnchor>
  <xdr:twoCellAnchor>
    <xdr:from>
      <xdr:col>0</xdr:col>
      <xdr:colOff>103909</xdr:colOff>
      <xdr:row>132</xdr:row>
      <xdr:rowOff>124692</xdr:rowOff>
    </xdr:from>
    <xdr:to>
      <xdr:col>4</xdr:col>
      <xdr:colOff>180109</xdr:colOff>
      <xdr:row>142</xdr:row>
      <xdr:rowOff>235528</xdr:rowOff>
    </xdr:to>
    <xdr:graphicFrame macro="">
      <xdr:nvGraphicFramePr>
        <xdr:cNvPr id="28" name="Grafiek 27">
          <a:extLst>
            <a:ext uri="{FF2B5EF4-FFF2-40B4-BE49-F238E27FC236}">
              <a16:creationId xmlns:a16="http://schemas.microsoft.com/office/drawing/2014/main" id="{7180BEDD-41C7-6963-6F9C-AC68F82798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2</xdr:col>
      <xdr:colOff>554182</xdr:colOff>
      <xdr:row>130</xdr:row>
      <xdr:rowOff>235528</xdr:rowOff>
    </xdr:from>
    <xdr:to>
      <xdr:col>4</xdr:col>
      <xdr:colOff>186440</xdr:colOff>
      <xdr:row>134</xdr:row>
      <xdr:rowOff>108089</xdr:rowOff>
    </xdr:to>
    <xdr:graphicFrame macro="">
      <xdr:nvGraphicFramePr>
        <xdr:cNvPr id="30" name="Grafiek 29">
          <a:extLst>
            <a:ext uri="{FF2B5EF4-FFF2-40B4-BE49-F238E27FC236}">
              <a16:creationId xmlns:a16="http://schemas.microsoft.com/office/drawing/2014/main" id="{4DDC0BF7-E380-4EAC-B8C1-6AEFBA241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2</xdr:col>
      <xdr:colOff>429491</xdr:colOff>
      <xdr:row>130</xdr:row>
      <xdr:rowOff>235528</xdr:rowOff>
    </xdr:from>
    <xdr:to>
      <xdr:col>4</xdr:col>
      <xdr:colOff>249382</xdr:colOff>
      <xdr:row>134</xdr:row>
      <xdr:rowOff>108089</xdr:rowOff>
    </xdr:to>
    <xdr:graphicFrame macro="">
      <xdr:nvGraphicFramePr>
        <xdr:cNvPr id="38" name="Grafiek 37">
          <a:extLst>
            <a:ext uri="{FF2B5EF4-FFF2-40B4-BE49-F238E27FC236}">
              <a16:creationId xmlns:a16="http://schemas.microsoft.com/office/drawing/2014/main" id="{F32CA6BD-904C-4FB9-8083-C069C0BBCF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2</xdr:col>
      <xdr:colOff>249382</xdr:colOff>
      <xdr:row>130</xdr:row>
      <xdr:rowOff>290946</xdr:rowOff>
    </xdr:from>
    <xdr:to>
      <xdr:col>3</xdr:col>
      <xdr:colOff>526473</xdr:colOff>
      <xdr:row>134</xdr:row>
      <xdr:rowOff>163507</xdr:rowOff>
    </xdr:to>
    <xdr:graphicFrame macro="">
      <xdr:nvGraphicFramePr>
        <xdr:cNvPr id="40" name="Grafiek 39">
          <a:extLst>
            <a:ext uri="{FF2B5EF4-FFF2-40B4-BE49-F238E27FC236}">
              <a16:creationId xmlns:a16="http://schemas.microsoft.com/office/drawing/2014/main" id="{A033770B-AF23-4F55-9127-46FC56D18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editAs="oneCell">
    <xdr:from>
      <xdr:col>0</xdr:col>
      <xdr:colOff>138545</xdr:colOff>
      <xdr:row>147</xdr:row>
      <xdr:rowOff>249385</xdr:rowOff>
    </xdr:from>
    <xdr:to>
      <xdr:col>25</xdr:col>
      <xdr:colOff>831272</xdr:colOff>
      <xdr:row>154</xdr:row>
      <xdr:rowOff>180112</xdr:rowOff>
    </xdr:to>
    <xdr:pic>
      <xdr:nvPicPr>
        <xdr:cNvPr id="93" name="Afbeelding 92">
          <a:extLst>
            <a:ext uri="{FF2B5EF4-FFF2-40B4-BE49-F238E27FC236}">
              <a16:creationId xmlns:a16="http://schemas.microsoft.com/office/drawing/2014/main" id="{DA93CF4F-B863-63C9-6273-C9077D5ED5A7}"/>
            </a:ext>
          </a:extLst>
        </xdr:cNvPr>
        <xdr:cNvPicPr>
          <a:picLocks noChangeAspect="1"/>
        </xdr:cNvPicPr>
      </xdr:nvPicPr>
      <xdr:blipFill>
        <a:blip xmlns:r="http://schemas.openxmlformats.org/officeDocument/2006/relationships" r:embed="rId78">
          <a:extLst>
            <a:ext uri="{BEBA8EAE-BF5A-486C-A8C5-ECC9F3942E4B}">
              <a14:imgProps xmlns:a14="http://schemas.microsoft.com/office/drawing/2010/main">
                <a14:imgLayer r:embed="rId79">
                  <a14:imgEffect>
                    <a14:brightnessContrast bright="20000"/>
                  </a14:imgEffect>
                </a14:imgLayer>
              </a14:imgProps>
            </a:ext>
          </a:extLst>
        </a:blip>
        <a:stretch>
          <a:fillRect/>
        </a:stretch>
      </xdr:blipFill>
      <xdr:spPr>
        <a:xfrm>
          <a:off x="138545" y="35814003"/>
          <a:ext cx="19507200" cy="1773381"/>
        </a:xfrm>
        <a:prstGeom prst="rect">
          <a:avLst/>
        </a:prstGeom>
      </xdr:spPr>
    </xdr:pic>
    <xdr:clientData/>
  </xdr:twoCellAnchor>
  <xdr:twoCellAnchor>
    <xdr:from>
      <xdr:col>21</xdr:col>
      <xdr:colOff>96982</xdr:colOff>
      <xdr:row>155</xdr:row>
      <xdr:rowOff>55421</xdr:rowOff>
    </xdr:from>
    <xdr:to>
      <xdr:col>22</xdr:col>
      <xdr:colOff>277091</xdr:colOff>
      <xdr:row>155</xdr:row>
      <xdr:rowOff>55421</xdr:rowOff>
    </xdr:to>
    <xdr:cxnSp macro="">
      <xdr:nvCxnSpPr>
        <xdr:cNvPr id="95" name="Rechte verbindingslijn met pijl 94">
          <a:extLst>
            <a:ext uri="{FF2B5EF4-FFF2-40B4-BE49-F238E27FC236}">
              <a16:creationId xmlns:a16="http://schemas.microsoft.com/office/drawing/2014/main" id="{322D678D-8877-C435-0F3C-2B75EB65C25A}"/>
            </a:ext>
          </a:extLst>
        </xdr:cNvPr>
        <xdr:cNvCxnSpPr/>
      </xdr:nvCxnSpPr>
      <xdr:spPr>
        <a:xfrm>
          <a:off x="15253855" y="37725930"/>
          <a:ext cx="1094509" cy="0"/>
        </a:xfrm>
        <a:prstGeom prst="straightConnector1">
          <a:avLst/>
        </a:prstGeom>
        <a:ln w="57150">
          <a:solidFill>
            <a:schemeClr val="accent6"/>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374073</xdr:colOff>
      <xdr:row>155</xdr:row>
      <xdr:rowOff>55421</xdr:rowOff>
    </xdr:from>
    <xdr:to>
      <xdr:col>16</xdr:col>
      <xdr:colOff>526473</xdr:colOff>
      <xdr:row>155</xdr:row>
      <xdr:rowOff>55421</xdr:rowOff>
    </xdr:to>
    <xdr:cxnSp macro="">
      <xdr:nvCxnSpPr>
        <xdr:cNvPr id="96" name="Rechte verbindingslijn met pijl 95">
          <a:extLst>
            <a:ext uri="{FF2B5EF4-FFF2-40B4-BE49-F238E27FC236}">
              <a16:creationId xmlns:a16="http://schemas.microsoft.com/office/drawing/2014/main" id="{794DCDEA-0126-4930-BBF9-F22F1895CC97}"/>
            </a:ext>
          </a:extLst>
        </xdr:cNvPr>
        <xdr:cNvCxnSpPr/>
      </xdr:nvCxnSpPr>
      <xdr:spPr>
        <a:xfrm>
          <a:off x="3726873" y="37725930"/>
          <a:ext cx="8908473" cy="0"/>
        </a:xfrm>
        <a:prstGeom prst="straightConnector1">
          <a:avLst/>
        </a:prstGeom>
        <a:ln w="57150">
          <a:solidFill>
            <a:schemeClr val="accent6"/>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9</xdr:col>
      <xdr:colOff>13855</xdr:colOff>
      <xdr:row>155</xdr:row>
      <xdr:rowOff>55421</xdr:rowOff>
    </xdr:from>
    <xdr:ext cx="1471448" cy="405432"/>
    <xdr:sp macro="" textlink="">
      <xdr:nvSpPr>
        <xdr:cNvPr id="99" name="Tekstvak 98">
          <a:extLst>
            <a:ext uri="{FF2B5EF4-FFF2-40B4-BE49-F238E27FC236}">
              <a16:creationId xmlns:a16="http://schemas.microsoft.com/office/drawing/2014/main" id="{03F1FAEA-6F07-4D7D-B290-9D972B9998A5}"/>
            </a:ext>
          </a:extLst>
        </xdr:cNvPr>
        <xdr:cNvSpPr txBox="1"/>
      </xdr:nvSpPr>
      <xdr:spPr>
        <a:xfrm>
          <a:off x="7342910" y="37725930"/>
          <a:ext cx="147144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Veldperiode</a:t>
          </a:r>
        </a:p>
      </xdr:txBody>
    </xdr:sp>
    <xdr:clientData/>
  </xdr:oneCellAnchor>
  <xdr:oneCellAnchor>
    <xdr:from>
      <xdr:col>19</xdr:col>
      <xdr:colOff>0</xdr:colOff>
      <xdr:row>155</xdr:row>
      <xdr:rowOff>41565</xdr:rowOff>
    </xdr:from>
    <xdr:ext cx="3865417" cy="405432"/>
    <xdr:sp macro="" textlink="">
      <xdr:nvSpPr>
        <xdr:cNvPr id="101" name="Tekstvak 100">
          <a:extLst>
            <a:ext uri="{FF2B5EF4-FFF2-40B4-BE49-F238E27FC236}">
              <a16:creationId xmlns:a16="http://schemas.microsoft.com/office/drawing/2014/main" id="{CA225C20-AE02-4393-88C0-609DE1F449B0}"/>
            </a:ext>
          </a:extLst>
        </xdr:cNvPr>
        <xdr:cNvSpPr txBox="1"/>
      </xdr:nvSpPr>
      <xdr:spPr>
        <a:xfrm>
          <a:off x="13937673" y="37712074"/>
          <a:ext cx="3865417"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Tijd tussen bemesten en maaien</a:t>
          </a:r>
        </a:p>
      </xdr:txBody>
    </xdr:sp>
    <xdr:clientData/>
  </xdr:oneCellAnchor>
  <xdr:oneCellAnchor>
    <xdr:from>
      <xdr:col>11</xdr:col>
      <xdr:colOff>942109</xdr:colOff>
      <xdr:row>147</xdr:row>
      <xdr:rowOff>193967</xdr:rowOff>
    </xdr:from>
    <xdr:ext cx="2549236" cy="405432"/>
    <xdr:sp macro="" textlink="">
      <xdr:nvSpPr>
        <xdr:cNvPr id="102" name="Tekstvak 101">
          <a:extLst>
            <a:ext uri="{FF2B5EF4-FFF2-40B4-BE49-F238E27FC236}">
              <a16:creationId xmlns:a16="http://schemas.microsoft.com/office/drawing/2014/main" id="{9927E851-49E7-4549-87A2-768768CDEB7B}"/>
            </a:ext>
          </a:extLst>
        </xdr:cNvPr>
        <xdr:cNvSpPr txBox="1"/>
      </xdr:nvSpPr>
      <xdr:spPr>
        <a:xfrm>
          <a:off x="9490364" y="35758585"/>
          <a:ext cx="2549236"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Aantal keer schudden</a:t>
          </a:r>
        </a:p>
      </xdr:txBody>
    </xdr:sp>
    <xdr:clientData/>
  </xdr:oneCellAnchor>
  <xdr:twoCellAnchor>
    <xdr:from>
      <xdr:col>23</xdr:col>
      <xdr:colOff>318655</xdr:colOff>
      <xdr:row>154</xdr:row>
      <xdr:rowOff>27709</xdr:rowOff>
    </xdr:from>
    <xdr:to>
      <xdr:col>24</xdr:col>
      <xdr:colOff>429491</xdr:colOff>
      <xdr:row>158</xdr:row>
      <xdr:rowOff>52671</xdr:rowOff>
    </xdr:to>
    <xdr:graphicFrame macro="">
      <xdr:nvGraphicFramePr>
        <xdr:cNvPr id="103" name="Grafiek 102">
          <a:extLst>
            <a:ext uri="{FF2B5EF4-FFF2-40B4-BE49-F238E27FC236}">
              <a16:creationId xmlns:a16="http://schemas.microsoft.com/office/drawing/2014/main" id="{D368A8A3-DBD2-4344-90CA-A9F6ECF6BE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15</xdr:col>
      <xdr:colOff>277091</xdr:colOff>
      <xdr:row>146</xdr:row>
      <xdr:rowOff>180109</xdr:rowOff>
    </xdr:from>
    <xdr:to>
      <xdr:col>17</xdr:col>
      <xdr:colOff>83127</xdr:colOff>
      <xdr:row>150</xdr:row>
      <xdr:rowOff>205071</xdr:rowOff>
    </xdr:to>
    <xdr:graphicFrame macro="">
      <xdr:nvGraphicFramePr>
        <xdr:cNvPr id="104" name="Grafiek 103">
          <a:extLst>
            <a:ext uri="{FF2B5EF4-FFF2-40B4-BE49-F238E27FC236}">
              <a16:creationId xmlns:a16="http://schemas.microsoft.com/office/drawing/2014/main" id="{FF949F2E-B12D-4FDC-9DA8-6237077186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11</xdr:col>
      <xdr:colOff>96982</xdr:colOff>
      <xdr:row>154</xdr:row>
      <xdr:rowOff>-1</xdr:rowOff>
    </xdr:from>
    <xdr:to>
      <xdr:col>12</xdr:col>
      <xdr:colOff>0</xdr:colOff>
      <xdr:row>158</xdr:row>
      <xdr:rowOff>24961</xdr:rowOff>
    </xdr:to>
    <xdr:graphicFrame macro="">
      <xdr:nvGraphicFramePr>
        <xdr:cNvPr id="105" name="Grafiek 104">
          <a:extLst>
            <a:ext uri="{FF2B5EF4-FFF2-40B4-BE49-F238E27FC236}">
              <a16:creationId xmlns:a16="http://schemas.microsoft.com/office/drawing/2014/main" id="{3EE2728D-7E97-4712-970E-F7495669BC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11</xdr:col>
      <xdr:colOff>96982</xdr:colOff>
      <xdr:row>154</xdr:row>
      <xdr:rowOff>13855</xdr:rowOff>
    </xdr:from>
    <xdr:to>
      <xdr:col>12</xdr:col>
      <xdr:colOff>0</xdr:colOff>
      <xdr:row>157</xdr:row>
      <xdr:rowOff>346364</xdr:rowOff>
    </xdr:to>
    <xdr:graphicFrame macro="">
      <xdr:nvGraphicFramePr>
        <xdr:cNvPr id="106" name="Grafiek 105">
          <a:extLst>
            <a:ext uri="{FF2B5EF4-FFF2-40B4-BE49-F238E27FC236}">
              <a16:creationId xmlns:a16="http://schemas.microsoft.com/office/drawing/2014/main" id="{2056BF56-CD80-4F5C-9823-8CA3A2865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15</xdr:col>
      <xdr:colOff>277091</xdr:colOff>
      <xdr:row>146</xdr:row>
      <xdr:rowOff>124692</xdr:rowOff>
    </xdr:from>
    <xdr:to>
      <xdr:col>17</xdr:col>
      <xdr:colOff>83127</xdr:colOff>
      <xdr:row>150</xdr:row>
      <xdr:rowOff>149654</xdr:rowOff>
    </xdr:to>
    <xdr:graphicFrame macro="">
      <xdr:nvGraphicFramePr>
        <xdr:cNvPr id="107" name="Grafiek 106">
          <a:extLst>
            <a:ext uri="{FF2B5EF4-FFF2-40B4-BE49-F238E27FC236}">
              <a16:creationId xmlns:a16="http://schemas.microsoft.com/office/drawing/2014/main" id="{CCD90B33-09E6-41DC-BA31-57DAC3B7C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23</xdr:col>
      <xdr:colOff>332509</xdr:colOff>
      <xdr:row>153</xdr:row>
      <xdr:rowOff>235527</xdr:rowOff>
    </xdr:from>
    <xdr:to>
      <xdr:col>24</xdr:col>
      <xdr:colOff>443345</xdr:colOff>
      <xdr:row>157</xdr:row>
      <xdr:rowOff>260489</xdr:rowOff>
    </xdr:to>
    <xdr:graphicFrame macro="">
      <xdr:nvGraphicFramePr>
        <xdr:cNvPr id="108" name="Grafiek 107">
          <a:extLst>
            <a:ext uri="{FF2B5EF4-FFF2-40B4-BE49-F238E27FC236}">
              <a16:creationId xmlns:a16="http://schemas.microsoft.com/office/drawing/2014/main" id="{2994F9CC-0AAC-4CA7-9A5D-C589E260FF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editAs="oneCell">
    <xdr:from>
      <xdr:col>0</xdr:col>
      <xdr:colOff>937323</xdr:colOff>
      <xdr:row>167</xdr:row>
      <xdr:rowOff>162513</xdr:rowOff>
    </xdr:from>
    <xdr:to>
      <xdr:col>0</xdr:col>
      <xdr:colOff>1399058</xdr:colOff>
      <xdr:row>170</xdr:row>
      <xdr:rowOff>83920</xdr:rowOff>
    </xdr:to>
    <xdr:pic>
      <xdr:nvPicPr>
        <xdr:cNvPr id="119" name="Afbeelding 118">
          <a:extLst>
            <a:ext uri="{FF2B5EF4-FFF2-40B4-BE49-F238E27FC236}">
              <a16:creationId xmlns:a16="http://schemas.microsoft.com/office/drawing/2014/main" id="{8CD59E7C-7F03-F348-6B6F-ABC1D915C05A}"/>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8954189">
          <a:off x="937323" y="41449058"/>
          <a:ext cx="461735" cy="461735"/>
        </a:xfrm>
        <a:prstGeom prst="rect">
          <a:avLst/>
        </a:prstGeom>
      </xdr:spPr>
    </xdr:pic>
    <xdr:clientData/>
  </xdr:twoCellAnchor>
  <xdr:twoCellAnchor editAs="oneCell">
    <xdr:from>
      <xdr:col>0</xdr:col>
      <xdr:colOff>1491505</xdr:colOff>
      <xdr:row>167</xdr:row>
      <xdr:rowOff>93240</xdr:rowOff>
    </xdr:from>
    <xdr:to>
      <xdr:col>0</xdr:col>
      <xdr:colOff>1953240</xdr:colOff>
      <xdr:row>170</xdr:row>
      <xdr:rowOff>14647</xdr:rowOff>
    </xdr:to>
    <xdr:pic>
      <xdr:nvPicPr>
        <xdr:cNvPr id="120" name="Afbeelding 119">
          <a:extLst>
            <a:ext uri="{FF2B5EF4-FFF2-40B4-BE49-F238E27FC236}">
              <a16:creationId xmlns:a16="http://schemas.microsoft.com/office/drawing/2014/main" id="{C7AB8741-849A-4D48-910C-2C2A6F6CF314}"/>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8954189">
          <a:off x="1491505" y="41379785"/>
          <a:ext cx="461735" cy="461735"/>
        </a:xfrm>
        <a:prstGeom prst="rect">
          <a:avLst/>
        </a:prstGeom>
      </xdr:spPr>
    </xdr:pic>
    <xdr:clientData/>
  </xdr:twoCellAnchor>
  <xdr:twoCellAnchor editAs="oneCell">
    <xdr:from>
      <xdr:col>0</xdr:col>
      <xdr:colOff>1505359</xdr:colOff>
      <xdr:row>171</xdr:row>
      <xdr:rowOff>10113</xdr:rowOff>
    </xdr:from>
    <xdr:to>
      <xdr:col>0</xdr:col>
      <xdr:colOff>1967094</xdr:colOff>
      <xdr:row>172</xdr:row>
      <xdr:rowOff>208612</xdr:rowOff>
    </xdr:to>
    <xdr:pic>
      <xdr:nvPicPr>
        <xdr:cNvPr id="121" name="Afbeelding 120">
          <a:extLst>
            <a:ext uri="{FF2B5EF4-FFF2-40B4-BE49-F238E27FC236}">
              <a16:creationId xmlns:a16="http://schemas.microsoft.com/office/drawing/2014/main" id="{7EFA3633-A271-4281-9C85-C259C73CFDFC}"/>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8954189">
          <a:off x="1505359" y="42017095"/>
          <a:ext cx="461735" cy="461735"/>
        </a:xfrm>
        <a:prstGeom prst="rect">
          <a:avLst/>
        </a:prstGeom>
      </xdr:spPr>
    </xdr:pic>
    <xdr:clientData/>
  </xdr:twoCellAnchor>
  <xdr:twoCellAnchor editAs="oneCell">
    <xdr:from>
      <xdr:col>1</xdr:col>
      <xdr:colOff>64486</xdr:colOff>
      <xdr:row>170</xdr:row>
      <xdr:rowOff>120949</xdr:rowOff>
    </xdr:from>
    <xdr:to>
      <xdr:col>1</xdr:col>
      <xdr:colOff>526221</xdr:colOff>
      <xdr:row>172</xdr:row>
      <xdr:rowOff>139339</xdr:rowOff>
    </xdr:to>
    <xdr:pic>
      <xdr:nvPicPr>
        <xdr:cNvPr id="122" name="Afbeelding 121">
          <a:extLst>
            <a:ext uri="{FF2B5EF4-FFF2-40B4-BE49-F238E27FC236}">
              <a16:creationId xmlns:a16="http://schemas.microsoft.com/office/drawing/2014/main" id="{7300E5D9-3CDB-45B2-B4A5-12D924D94EB0}"/>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8954189">
          <a:off x="2059541" y="41947822"/>
          <a:ext cx="461735" cy="461735"/>
        </a:xfrm>
        <a:prstGeom prst="rect">
          <a:avLst/>
        </a:prstGeom>
      </xdr:spPr>
    </xdr:pic>
    <xdr:clientData/>
  </xdr:twoCellAnchor>
  <xdr:twoCellAnchor editAs="oneCell">
    <xdr:from>
      <xdr:col>1</xdr:col>
      <xdr:colOff>189176</xdr:colOff>
      <xdr:row>173</xdr:row>
      <xdr:rowOff>134804</xdr:rowOff>
    </xdr:from>
    <xdr:to>
      <xdr:col>2</xdr:col>
      <xdr:colOff>41311</xdr:colOff>
      <xdr:row>175</xdr:row>
      <xdr:rowOff>70067</xdr:rowOff>
    </xdr:to>
    <xdr:pic>
      <xdr:nvPicPr>
        <xdr:cNvPr id="123" name="Afbeelding 122">
          <a:extLst>
            <a:ext uri="{FF2B5EF4-FFF2-40B4-BE49-F238E27FC236}">
              <a16:creationId xmlns:a16="http://schemas.microsoft.com/office/drawing/2014/main" id="{CC57E73D-F4FA-42B4-8518-E6A9F9A772CE}"/>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8954189">
          <a:off x="2184231" y="42502004"/>
          <a:ext cx="461735" cy="461735"/>
        </a:xfrm>
        <a:prstGeom prst="rect">
          <a:avLst/>
        </a:prstGeom>
      </xdr:spPr>
    </xdr:pic>
    <xdr:clientData/>
  </xdr:twoCellAnchor>
  <xdr:twoCellAnchor editAs="oneCell">
    <xdr:from>
      <xdr:col>2</xdr:col>
      <xdr:colOff>133758</xdr:colOff>
      <xdr:row>173</xdr:row>
      <xdr:rowOff>65531</xdr:rowOff>
    </xdr:from>
    <xdr:to>
      <xdr:col>2</xdr:col>
      <xdr:colOff>595493</xdr:colOff>
      <xdr:row>175</xdr:row>
      <xdr:rowOff>794</xdr:rowOff>
    </xdr:to>
    <xdr:pic>
      <xdr:nvPicPr>
        <xdr:cNvPr id="124" name="Afbeelding 123">
          <a:extLst>
            <a:ext uri="{FF2B5EF4-FFF2-40B4-BE49-F238E27FC236}">
              <a16:creationId xmlns:a16="http://schemas.microsoft.com/office/drawing/2014/main" id="{2B38E0A6-ADBE-40F3-ABCF-8CC431103D5F}"/>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8954189">
          <a:off x="2738413" y="42432731"/>
          <a:ext cx="461735" cy="461735"/>
        </a:xfrm>
        <a:prstGeom prst="rect">
          <a:avLst/>
        </a:prstGeom>
      </xdr:spPr>
    </xdr:pic>
    <xdr:clientData/>
  </xdr:twoCellAnchor>
  <xdr:twoCellAnchor editAs="oneCell">
    <xdr:from>
      <xdr:col>2</xdr:col>
      <xdr:colOff>357589</xdr:colOff>
      <xdr:row>176</xdr:row>
      <xdr:rowOff>93144</xdr:rowOff>
    </xdr:from>
    <xdr:to>
      <xdr:col>3</xdr:col>
      <xdr:colOff>100613</xdr:colOff>
      <xdr:row>178</xdr:row>
      <xdr:rowOff>140968</xdr:rowOff>
    </xdr:to>
    <xdr:pic>
      <xdr:nvPicPr>
        <xdr:cNvPr id="127" name="Afbeelding 126">
          <a:extLst>
            <a:ext uri="{FF2B5EF4-FFF2-40B4-BE49-F238E27FC236}">
              <a16:creationId xmlns:a16="http://schemas.microsoft.com/office/drawing/2014/main" id="{8CD59E7C-7F03-F348-6B6F-ABC1D915C05A}"/>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7866878">
          <a:off x="2962244" y="43000671"/>
          <a:ext cx="491169" cy="491169"/>
        </a:xfrm>
        <a:prstGeom prst="rect">
          <a:avLst/>
        </a:prstGeom>
      </xdr:spPr>
    </xdr:pic>
    <xdr:clientData/>
  </xdr:twoCellAnchor>
  <xdr:twoCellAnchor editAs="oneCell">
    <xdr:from>
      <xdr:col>3</xdr:col>
      <xdr:colOff>135918</xdr:colOff>
      <xdr:row>174</xdr:row>
      <xdr:rowOff>162417</xdr:rowOff>
    </xdr:from>
    <xdr:to>
      <xdr:col>4</xdr:col>
      <xdr:colOff>17487</xdr:colOff>
      <xdr:row>176</xdr:row>
      <xdr:rowOff>127113</xdr:rowOff>
    </xdr:to>
    <xdr:pic>
      <xdr:nvPicPr>
        <xdr:cNvPr id="128" name="Afbeelding 127">
          <a:extLst>
            <a:ext uri="{FF2B5EF4-FFF2-40B4-BE49-F238E27FC236}">
              <a16:creationId xmlns:a16="http://schemas.microsoft.com/office/drawing/2014/main" id="{D2A36FC0-8E23-415F-B382-406E6F443AC8}"/>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7866878">
          <a:off x="3488718" y="42709726"/>
          <a:ext cx="491169" cy="491169"/>
        </a:xfrm>
        <a:prstGeom prst="rect">
          <a:avLst/>
        </a:prstGeom>
      </xdr:spPr>
    </xdr:pic>
    <xdr:clientData/>
  </xdr:twoCellAnchor>
  <xdr:twoCellAnchor editAs="oneCell">
    <xdr:from>
      <xdr:col>3</xdr:col>
      <xdr:colOff>579263</xdr:colOff>
      <xdr:row>177</xdr:row>
      <xdr:rowOff>37727</xdr:rowOff>
    </xdr:from>
    <xdr:to>
      <xdr:col>4</xdr:col>
      <xdr:colOff>460832</xdr:colOff>
      <xdr:row>179</xdr:row>
      <xdr:rowOff>168678</xdr:rowOff>
    </xdr:to>
    <xdr:pic>
      <xdr:nvPicPr>
        <xdr:cNvPr id="129" name="Afbeelding 128">
          <a:extLst>
            <a:ext uri="{FF2B5EF4-FFF2-40B4-BE49-F238E27FC236}">
              <a16:creationId xmlns:a16="http://schemas.microsoft.com/office/drawing/2014/main" id="{FCFCA434-180B-4E38-BE7E-ED4DC226ECC9}"/>
            </a:ext>
          </a:extLst>
        </xdr:cNvPr>
        <xdr:cNvPicPr>
          <a:picLocks noChangeAspect="1"/>
        </xdr:cNvPicPr>
      </xdr:nvPicPr>
      <xdr:blipFill>
        <a:blip xmlns:r="http://schemas.openxmlformats.org/officeDocument/2006/relationships" r:embed="rId86">
          <a:extLst>
            <a:ext uri="{BEBA8EAE-BF5A-486C-A8C5-ECC9F3942E4B}">
              <a14:imgProps xmlns:a14="http://schemas.microsoft.com/office/drawing/2010/main">
                <a14:imgLayer r:embed="rId87">
                  <a14:imgEffect>
                    <a14:backgroundRemoval t="5200" b="95067" l="8667" r="90000">
                      <a14:foregroundMark x1="29067" y1="8533" x2="29067" y2="8533"/>
                      <a14:foregroundMark x1="45067" y1="5200" x2="45067" y2="5200"/>
                      <a14:foregroundMark x1="43733" y1="95067" x2="43733" y2="95067"/>
                      <a14:foregroundMark x1="8667" y1="45467" x2="8667" y2="45467"/>
                    </a14:backgroundRemoval>
                  </a14:imgEffect>
                </a14:imgLayer>
              </a14:imgProps>
            </a:ext>
          </a:extLst>
        </a:blip>
        <a:stretch>
          <a:fillRect/>
        </a:stretch>
      </xdr:blipFill>
      <xdr:spPr>
        <a:xfrm rot="7866878">
          <a:off x="3932063" y="43125363"/>
          <a:ext cx="491169" cy="491169"/>
        </a:xfrm>
        <a:prstGeom prst="rect">
          <a:avLst/>
        </a:prstGeom>
      </xdr:spPr>
    </xdr:pic>
    <xdr:clientData/>
  </xdr:twoCellAnchor>
  <xdr:oneCellAnchor>
    <xdr:from>
      <xdr:col>0</xdr:col>
      <xdr:colOff>387928</xdr:colOff>
      <xdr:row>173</xdr:row>
      <xdr:rowOff>13858</xdr:rowOff>
    </xdr:from>
    <xdr:ext cx="1471448" cy="718530"/>
    <xdr:sp macro="" textlink="">
      <xdr:nvSpPr>
        <xdr:cNvPr id="130" name="Tekstvak 129">
          <a:extLst>
            <a:ext uri="{FF2B5EF4-FFF2-40B4-BE49-F238E27FC236}">
              <a16:creationId xmlns:a16="http://schemas.microsoft.com/office/drawing/2014/main" id="{B908CCA7-2858-4925-A6F7-6C71998CF284}"/>
            </a:ext>
          </a:extLst>
        </xdr:cNvPr>
        <xdr:cNvSpPr txBox="1"/>
      </xdr:nvSpPr>
      <xdr:spPr>
        <a:xfrm>
          <a:off x="387928" y="42464185"/>
          <a:ext cx="1471448" cy="718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nl-BE" sz="2000" b="1">
              <a:solidFill>
                <a:schemeClr val="accent6"/>
              </a:solidFill>
            </a:rPr>
            <a:t>Afstand tot weide</a:t>
          </a:r>
        </a:p>
      </xdr:txBody>
    </xdr:sp>
    <xdr:clientData/>
  </xdr:oneCellAnchor>
  <xdr:twoCellAnchor editAs="oneCell">
    <xdr:from>
      <xdr:col>12</xdr:col>
      <xdr:colOff>602508</xdr:colOff>
      <xdr:row>177</xdr:row>
      <xdr:rowOff>96982</xdr:rowOff>
    </xdr:from>
    <xdr:to>
      <xdr:col>14</xdr:col>
      <xdr:colOff>561490</xdr:colOff>
      <xdr:row>181</xdr:row>
      <xdr:rowOff>124691</xdr:rowOff>
    </xdr:to>
    <xdr:pic>
      <xdr:nvPicPr>
        <xdr:cNvPr id="132" name="Afbeelding 131">
          <a:extLst>
            <a:ext uri="{FF2B5EF4-FFF2-40B4-BE49-F238E27FC236}">
              <a16:creationId xmlns:a16="http://schemas.microsoft.com/office/drawing/2014/main" id="{EFCFB61F-0F6C-680E-A1CC-845E37972465}"/>
            </a:ext>
          </a:extLst>
        </xdr:cNvPr>
        <xdr:cNvPicPr>
          <a:picLocks noChangeAspect="1"/>
        </xdr:cNvPicPr>
      </xdr:nvPicPr>
      <xdr:blipFill>
        <a:blip xmlns:r="http://schemas.openxmlformats.org/officeDocument/2006/relationships" r:embed="rId88">
          <a:extLst>
            <a:ext uri="{BEBA8EAE-BF5A-486C-A8C5-ECC9F3942E4B}">
              <a14:imgProps xmlns:a14="http://schemas.microsoft.com/office/drawing/2010/main">
                <a14:imgLayer r:embed="rId89">
                  <a14:imgEffect>
                    <a14:backgroundRemoval t="10000" b="91732" l="6800" r="90850">
                      <a14:foregroundMark x1="9650" y1="35984" x2="9400" y2="28110"/>
                      <a14:foregroundMark x1="6850" y1="27165" x2="7200" y2="25433"/>
                      <a14:foregroundMark x1="81950" y1="14016" x2="80350" y2="17638"/>
                      <a14:foregroundMark x1="89400" y1="15748" x2="90850" y2="20945"/>
                      <a14:foregroundMark x1="62150" y1="91575" x2="55600" y2="91732"/>
                    </a14:backgroundRemoval>
                  </a14:imgEffect>
                </a14:imgLayer>
              </a14:imgProps>
            </a:ext>
          </a:extLst>
        </a:blip>
        <a:stretch>
          <a:fillRect/>
        </a:stretch>
      </xdr:blipFill>
      <xdr:spPr>
        <a:xfrm>
          <a:off x="10272981" y="43683382"/>
          <a:ext cx="1178182" cy="748145"/>
        </a:xfrm>
        <a:prstGeom prst="rect">
          <a:avLst/>
        </a:prstGeom>
      </xdr:spPr>
    </xdr:pic>
    <xdr:clientData/>
  </xdr:twoCellAnchor>
  <xdr:oneCellAnchor>
    <xdr:from>
      <xdr:col>12</xdr:col>
      <xdr:colOff>581891</xdr:colOff>
      <xdr:row>181</xdr:row>
      <xdr:rowOff>83129</xdr:rowOff>
    </xdr:from>
    <xdr:ext cx="1471448" cy="718530"/>
    <xdr:sp macro="" textlink="">
      <xdr:nvSpPr>
        <xdr:cNvPr id="133" name="Tekstvak 132">
          <a:extLst>
            <a:ext uri="{FF2B5EF4-FFF2-40B4-BE49-F238E27FC236}">
              <a16:creationId xmlns:a16="http://schemas.microsoft.com/office/drawing/2014/main" id="{AD96C9CB-12B5-4E6E-AED8-D04311A5D6B3}"/>
            </a:ext>
          </a:extLst>
        </xdr:cNvPr>
        <xdr:cNvSpPr txBox="1"/>
      </xdr:nvSpPr>
      <xdr:spPr>
        <a:xfrm>
          <a:off x="10252364" y="44389965"/>
          <a:ext cx="1471448" cy="718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Afstand</a:t>
          </a:r>
          <a:r>
            <a:rPr lang="nl-BE" sz="2000" b="1" baseline="0">
              <a:solidFill>
                <a:schemeClr val="accent6"/>
              </a:solidFill>
            </a:rPr>
            <a:t> tot d</a:t>
          </a:r>
          <a:r>
            <a:rPr lang="nl-BE" sz="2000" b="1">
              <a:solidFill>
                <a:schemeClr val="accent6"/>
              </a:solidFill>
            </a:rPr>
            <a:t>rinkplaats</a:t>
          </a:r>
        </a:p>
      </xdr:txBody>
    </xdr:sp>
    <xdr:clientData/>
  </xdr:oneCellAnchor>
  <xdr:oneCellAnchor>
    <xdr:from>
      <xdr:col>20</xdr:col>
      <xdr:colOff>540327</xdr:colOff>
      <xdr:row>175</xdr:row>
      <xdr:rowOff>180114</xdr:rowOff>
    </xdr:from>
    <xdr:ext cx="2244436" cy="405432"/>
    <xdr:sp macro="" textlink="">
      <xdr:nvSpPr>
        <xdr:cNvPr id="139" name="Tekstvak 138">
          <a:extLst>
            <a:ext uri="{FF2B5EF4-FFF2-40B4-BE49-F238E27FC236}">
              <a16:creationId xmlns:a16="http://schemas.microsoft.com/office/drawing/2014/main" id="{7CC26054-4C2D-48EF-BF49-39705995903E}"/>
            </a:ext>
          </a:extLst>
        </xdr:cNvPr>
        <xdr:cNvSpPr txBox="1"/>
      </xdr:nvSpPr>
      <xdr:spPr>
        <a:xfrm>
          <a:off x="15087600" y="43240041"/>
          <a:ext cx="2244436"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Schaduwplekken</a:t>
          </a:r>
        </a:p>
      </xdr:txBody>
    </xdr:sp>
    <xdr:clientData/>
  </xdr:oneCellAnchor>
  <xdr:twoCellAnchor>
    <xdr:from>
      <xdr:col>21</xdr:col>
      <xdr:colOff>512618</xdr:colOff>
      <xdr:row>176</xdr:row>
      <xdr:rowOff>96985</xdr:rowOff>
    </xdr:from>
    <xdr:to>
      <xdr:col>22</xdr:col>
      <xdr:colOff>623454</xdr:colOff>
      <xdr:row>182</xdr:row>
      <xdr:rowOff>11111</xdr:rowOff>
    </xdr:to>
    <xdr:graphicFrame macro="">
      <xdr:nvGraphicFramePr>
        <xdr:cNvPr id="142" name="Grafiek 141">
          <a:extLst>
            <a:ext uri="{FF2B5EF4-FFF2-40B4-BE49-F238E27FC236}">
              <a16:creationId xmlns:a16="http://schemas.microsoft.com/office/drawing/2014/main" id="{E9089AE3-0D3E-440F-BB08-07DF667C4A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21</xdr:col>
      <xdr:colOff>526473</xdr:colOff>
      <xdr:row>176</xdr:row>
      <xdr:rowOff>193963</xdr:rowOff>
    </xdr:from>
    <xdr:to>
      <xdr:col>22</xdr:col>
      <xdr:colOff>637309</xdr:colOff>
      <xdr:row>182</xdr:row>
      <xdr:rowOff>108089</xdr:rowOff>
    </xdr:to>
    <xdr:graphicFrame macro="">
      <xdr:nvGraphicFramePr>
        <xdr:cNvPr id="143" name="Grafiek 142">
          <a:extLst>
            <a:ext uri="{FF2B5EF4-FFF2-40B4-BE49-F238E27FC236}">
              <a16:creationId xmlns:a16="http://schemas.microsoft.com/office/drawing/2014/main" id="{DF7ACCC1-07C4-4412-A8B6-80A2D7A7DF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14</xdr:col>
      <xdr:colOff>526473</xdr:colOff>
      <xdr:row>180</xdr:row>
      <xdr:rowOff>27710</xdr:rowOff>
    </xdr:from>
    <xdr:to>
      <xdr:col>16</xdr:col>
      <xdr:colOff>332509</xdr:colOff>
      <xdr:row>186</xdr:row>
      <xdr:rowOff>24962</xdr:rowOff>
    </xdr:to>
    <xdr:graphicFrame macro="">
      <xdr:nvGraphicFramePr>
        <xdr:cNvPr id="144" name="Grafiek 143">
          <a:extLst>
            <a:ext uri="{FF2B5EF4-FFF2-40B4-BE49-F238E27FC236}">
              <a16:creationId xmlns:a16="http://schemas.microsoft.com/office/drawing/2014/main" id="{4D885B75-23B2-4249-86C6-108ED45479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14</xdr:col>
      <xdr:colOff>526472</xdr:colOff>
      <xdr:row>180</xdr:row>
      <xdr:rowOff>41564</xdr:rowOff>
    </xdr:from>
    <xdr:to>
      <xdr:col>16</xdr:col>
      <xdr:colOff>332508</xdr:colOff>
      <xdr:row>186</xdr:row>
      <xdr:rowOff>38816</xdr:rowOff>
    </xdr:to>
    <xdr:graphicFrame macro="">
      <xdr:nvGraphicFramePr>
        <xdr:cNvPr id="145" name="Grafiek 144">
          <a:extLst>
            <a:ext uri="{FF2B5EF4-FFF2-40B4-BE49-F238E27FC236}">
              <a16:creationId xmlns:a16="http://schemas.microsoft.com/office/drawing/2014/main" id="{BEB1752E-B308-4118-85C9-D9CFEB0CF7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1357745</xdr:colOff>
      <xdr:row>173</xdr:row>
      <xdr:rowOff>110835</xdr:rowOff>
    </xdr:from>
    <xdr:to>
      <xdr:col>1</xdr:col>
      <xdr:colOff>387926</xdr:colOff>
      <xdr:row>177</xdr:row>
      <xdr:rowOff>135797</xdr:rowOff>
    </xdr:to>
    <xdr:graphicFrame macro="">
      <xdr:nvGraphicFramePr>
        <xdr:cNvPr id="148" name="Grafiek 147">
          <a:extLst>
            <a:ext uri="{FF2B5EF4-FFF2-40B4-BE49-F238E27FC236}">
              <a16:creationId xmlns:a16="http://schemas.microsoft.com/office/drawing/2014/main" id="{AF9ABFCD-76CD-4571-8FEF-72573E5B0F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0</xdr:col>
      <xdr:colOff>1343890</xdr:colOff>
      <xdr:row>173</xdr:row>
      <xdr:rowOff>124690</xdr:rowOff>
    </xdr:from>
    <xdr:to>
      <xdr:col>1</xdr:col>
      <xdr:colOff>374071</xdr:colOff>
      <xdr:row>177</xdr:row>
      <xdr:rowOff>149652</xdr:rowOff>
    </xdr:to>
    <xdr:graphicFrame macro="">
      <xdr:nvGraphicFramePr>
        <xdr:cNvPr id="149" name="Grafiek 148">
          <a:extLst>
            <a:ext uri="{FF2B5EF4-FFF2-40B4-BE49-F238E27FC236}">
              <a16:creationId xmlns:a16="http://schemas.microsoft.com/office/drawing/2014/main" id="{C7E67E20-20E0-42A7-902E-2E02E535F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11</xdr:col>
      <xdr:colOff>789709</xdr:colOff>
      <xdr:row>159</xdr:row>
      <xdr:rowOff>96982</xdr:rowOff>
    </xdr:from>
    <xdr:to>
      <xdr:col>13</xdr:col>
      <xdr:colOff>83127</xdr:colOff>
      <xdr:row>165</xdr:row>
      <xdr:rowOff>94235</xdr:rowOff>
    </xdr:to>
    <xdr:graphicFrame macro="">
      <xdr:nvGraphicFramePr>
        <xdr:cNvPr id="150" name="Grafiek 149">
          <a:extLst>
            <a:ext uri="{FF2B5EF4-FFF2-40B4-BE49-F238E27FC236}">
              <a16:creationId xmlns:a16="http://schemas.microsoft.com/office/drawing/2014/main" id="{201E9405-CBF1-450A-A7CC-4DF8121B03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11</xdr:col>
      <xdr:colOff>789709</xdr:colOff>
      <xdr:row>159</xdr:row>
      <xdr:rowOff>96981</xdr:rowOff>
    </xdr:from>
    <xdr:to>
      <xdr:col>13</xdr:col>
      <xdr:colOff>83127</xdr:colOff>
      <xdr:row>165</xdr:row>
      <xdr:rowOff>94234</xdr:rowOff>
    </xdr:to>
    <xdr:graphicFrame macro="">
      <xdr:nvGraphicFramePr>
        <xdr:cNvPr id="152" name="Grafiek 151">
          <a:extLst>
            <a:ext uri="{FF2B5EF4-FFF2-40B4-BE49-F238E27FC236}">
              <a16:creationId xmlns:a16="http://schemas.microsoft.com/office/drawing/2014/main" id="{4315E959-78C5-4D30-92E1-24534F9B64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11</xdr:col>
      <xdr:colOff>775854</xdr:colOff>
      <xdr:row>160</xdr:row>
      <xdr:rowOff>0</xdr:rowOff>
    </xdr:from>
    <xdr:to>
      <xdr:col>13</xdr:col>
      <xdr:colOff>69272</xdr:colOff>
      <xdr:row>165</xdr:row>
      <xdr:rowOff>80380</xdr:rowOff>
    </xdr:to>
    <xdr:graphicFrame macro="">
      <xdr:nvGraphicFramePr>
        <xdr:cNvPr id="153" name="Grafiek 152">
          <a:extLst>
            <a:ext uri="{FF2B5EF4-FFF2-40B4-BE49-F238E27FC236}">
              <a16:creationId xmlns:a16="http://schemas.microsoft.com/office/drawing/2014/main" id="{D4A8D601-29D8-452A-AD83-12EBF16C58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17</xdr:col>
      <xdr:colOff>166253</xdr:colOff>
      <xdr:row>170</xdr:row>
      <xdr:rowOff>83127</xdr:rowOff>
    </xdr:from>
    <xdr:to>
      <xdr:col>20</xdr:col>
      <xdr:colOff>484908</xdr:colOff>
      <xdr:row>177</xdr:row>
      <xdr:rowOff>13854</xdr:rowOff>
    </xdr:to>
    <xdr:graphicFrame macro="">
      <xdr:nvGraphicFramePr>
        <xdr:cNvPr id="154" name="Grafiek 153">
          <a:extLst>
            <a:ext uri="{FF2B5EF4-FFF2-40B4-BE49-F238E27FC236}">
              <a16:creationId xmlns:a16="http://schemas.microsoft.com/office/drawing/2014/main" id="{B7355F45-7B3E-4121-BB67-88C88E0405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10</xdr:col>
      <xdr:colOff>374073</xdr:colOff>
      <xdr:row>167</xdr:row>
      <xdr:rowOff>1</xdr:rowOff>
    </xdr:from>
    <xdr:to>
      <xdr:col>13</xdr:col>
      <xdr:colOff>346363</xdr:colOff>
      <xdr:row>175</xdr:row>
      <xdr:rowOff>249383</xdr:rowOff>
    </xdr:to>
    <xdr:graphicFrame macro="">
      <xdr:nvGraphicFramePr>
        <xdr:cNvPr id="155" name="Grafiek 154">
          <a:extLst>
            <a:ext uri="{FF2B5EF4-FFF2-40B4-BE49-F238E27FC236}">
              <a16:creationId xmlns:a16="http://schemas.microsoft.com/office/drawing/2014/main" id="{97564F49-E303-4589-98BB-58E1275B0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14</xdr:col>
      <xdr:colOff>568039</xdr:colOff>
      <xdr:row>170</xdr:row>
      <xdr:rowOff>152399</xdr:rowOff>
    </xdr:from>
    <xdr:to>
      <xdr:col>16</xdr:col>
      <xdr:colOff>304801</xdr:colOff>
      <xdr:row>174</xdr:row>
      <xdr:rowOff>55418</xdr:rowOff>
    </xdr:to>
    <xdr:graphicFrame macro="">
      <xdr:nvGraphicFramePr>
        <xdr:cNvPr id="7" name="Grafiek 6">
          <a:extLst>
            <a:ext uri="{FF2B5EF4-FFF2-40B4-BE49-F238E27FC236}">
              <a16:creationId xmlns:a16="http://schemas.microsoft.com/office/drawing/2014/main" id="{5EEE1BD2-CA46-4389-8467-5BB38D788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10</xdr:col>
      <xdr:colOff>443346</xdr:colOff>
      <xdr:row>171</xdr:row>
      <xdr:rowOff>124691</xdr:rowOff>
    </xdr:from>
    <xdr:to>
      <xdr:col>11</xdr:col>
      <xdr:colOff>789708</xdr:colOff>
      <xdr:row>174</xdr:row>
      <xdr:rowOff>207819</xdr:rowOff>
    </xdr:to>
    <xdr:graphicFrame macro="">
      <xdr:nvGraphicFramePr>
        <xdr:cNvPr id="10" name="Grafiek 9">
          <a:extLst>
            <a:ext uri="{FF2B5EF4-FFF2-40B4-BE49-F238E27FC236}">
              <a16:creationId xmlns:a16="http://schemas.microsoft.com/office/drawing/2014/main" id="{603C7315-7D00-4085-B2D3-E3945A147F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14</xdr:col>
      <xdr:colOff>581891</xdr:colOff>
      <xdr:row>170</xdr:row>
      <xdr:rowOff>166254</xdr:rowOff>
    </xdr:from>
    <xdr:to>
      <xdr:col>16</xdr:col>
      <xdr:colOff>318653</xdr:colOff>
      <xdr:row>174</xdr:row>
      <xdr:rowOff>69273</xdr:rowOff>
    </xdr:to>
    <xdr:graphicFrame macro="">
      <xdr:nvGraphicFramePr>
        <xdr:cNvPr id="11" name="Grafiek 10">
          <a:extLst>
            <a:ext uri="{FF2B5EF4-FFF2-40B4-BE49-F238E27FC236}">
              <a16:creationId xmlns:a16="http://schemas.microsoft.com/office/drawing/2014/main" id="{76B63C6D-2CDD-4F06-97DE-033334F54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6</xdr:col>
      <xdr:colOff>346363</xdr:colOff>
      <xdr:row>172</xdr:row>
      <xdr:rowOff>0</xdr:rowOff>
    </xdr:from>
    <xdr:to>
      <xdr:col>8</xdr:col>
      <xdr:colOff>83125</xdr:colOff>
      <xdr:row>175</xdr:row>
      <xdr:rowOff>83128</xdr:rowOff>
    </xdr:to>
    <xdr:graphicFrame macro="">
      <xdr:nvGraphicFramePr>
        <xdr:cNvPr id="12" name="Grafiek 11">
          <a:extLst>
            <a:ext uri="{FF2B5EF4-FFF2-40B4-BE49-F238E27FC236}">
              <a16:creationId xmlns:a16="http://schemas.microsoft.com/office/drawing/2014/main" id="{9681B6D5-C3BB-47B6-8AB8-5C02049FA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0</xdr:col>
      <xdr:colOff>214745</xdr:colOff>
      <xdr:row>199</xdr:row>
      <xdr:rowOff>263235</xdr:rowOff>
    </xdr:from>
    <xdr:to>
      <xdr:col>7</xdr:col>
      <xdr:colOff>110836</xdr:colOff>
      <xdr:row>214</xdr:row>
      <xdr:rowOff>249382</xdr:rowOff>
    </xdr:to>
    <xdr:graphicFrame macro="">
      <xdr:nvGraphicFramePr>
        <xdr:cNvPr id="26" name="Grafiek 25">
          <a:extLst>
            <a:ext uri="{FF2B5EF4-FFF2-40B4-BE49-F238E27FC236}">
              <a16:creationId xmlns:a16="http://schemas.microsoft.com/office/drawing/2014/main" id="{FD749F6E-E09C-4ACE-BB14-3063667F37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oneCellAnchor>
    <xdr:from>
      <xdr:col>0</xdr:col>
      <xdr:colOff>180107</xdr:colOff>
      <xdr:row>215</xdr:row>
      <xdr:rowOff>166254</xdr:rowOff>
    </xdr:from>
    <xdr:ext cx="2244436" cy="405432"/>
    <xdr:sp macro="" textlink="">
      <xdr:nvSpPr>
        <xdr:cNvPr id="41" name="Tekstvak 40">
          <a:extLst>
            <a:ext uri="{FF2B5EF4-FFF2-40B4-BE49-F238E27FC236}">
              <a16:creationId xmlns:a16="http://schemas.microsoft.com/office/drawing/2014/main" id="{1550D2FE-06A0-4BBF-8281-9262FDEC6FC5}"/>
            </a:ext>
          </a:extLst>
        </xdr:cNvPr>
        <xdr:cNvSpPr txBox="1"/>
      </xdr:nvSpPr>
      <xdr:spPr>
        <a:xfrm>
          <a:off x="180107" y="53423127"/>
          <a:ext cx="2244436"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Ammoniakfractie</a:t>
          </a:r>
        </a:p>
      </xdr:txBody>
    </xdr:sp>
    <xdr:clientData/>
  </xdr:oneCellAnchor>
  <xdr:twoCellAnchor editAs="oneCell">
    <xdr:from>
      <xdr:col>0</xdr:col>
      <xdr:colOff>261504</xdr:colOff>
      <xdr:row>158</xdr:row>
      <xdr:rowOff>27713</xdr:rowOff>
    </xdr:from>
    <xdr:to>
      <xdr:col>1</xdr:col>
      <xdr:colOff>233794</xdr:colOff>
      <xdr:row>166</xdr:row>
      <xdr:rowOff>96987</xdr:rowOff>
    </xdr:to>
    <xdr:pic>
      <xdr:nvPicPr>
        <xdr:cNvPr id="44" name="Graphic 6" descr="Boerderijomgeving met effen opvulling">
          <a:extLst>
            <a:ext uri="{FF2B5EF4-FFF2-40B4-BE49-F238E27FC236}">
              <a16:creationId xmlns:a16="http://schemas.microsoft.com/office/drawing/2014/main" id="{4D15AE56-9C4B-EFB3-096F-2F5F0A9B04C0}"/>
            </a:ext>
          </a:extLst>
        </xdr:cNvPr>
        <xdr:cNvPicPr>
          <a:picLocks noChangeAspect="1"/>
        </xdr:cNvPicPr>
      </xdr:nvPicPr>
      <xdr:blipFill rotWithShape="1">
        <a:blip xmlns:r="http://schemas.openxmlformats.org/officeDocument/2006/relationships" r:embed="rId106">
          <a:extLst>
            <a:ext uri="{96DAC541-7B7A-43D3-8B79-37D633B846F1}">
              <asvg:svgBlip xmlns:asvg="http://schemas.microsoft.com/office/drawing/2016/SVG/main" r:embed="rId107"/>
            </a:ext>
          </a:extLst>
        </a:blip>
        <a:srcRect b="23239"/>
        <a:stretch>
          <a:fillRect/>
        </a:stretch>
      </xdr:blipFill>
      <xdr:spPr>
        <a:xfrm>
          <a:off x="261504" y="39693277"/>
          <a:ext cx="1967345" cy="1510146"/>
        </a:xfrm>
        <a:prstGeom prst="rect">
          <a:avLst/>
        </a:prstGeom>
      </xdr:spPr>
    </xdr:pic>
    <xdr:clientData/>
  </xdr:twoCellAnchor>
  <xdr:twoCellAnchor editAs="oneCell">
    <xdr:from>
      <xdr:col>0</xdr:col>
      <xdr:colOff>263236</xdr:colOff>
      <xdr:row>216</xdr:row>
      <xdr:rowOff>249382</xdr:rowOff>
    </xdr:from>
    <xdr:to>
      <xdr:col>0</xdr:col>
      <xdr:colOff>1945732</xdr:colOff>
      <xdr:row>223</xdr:row>
      <xdr:rowOff>89223</xdr:rowOff>
    </xdr:to>
    <xdr:pic>
      <xdr:nvPicPr>
        <xdr:cNvPr id="50" name="Graphic 8" descr="Kolf met effen opvulling">
          <a:extLst>
            <a:ext uri="{FF2B5EF4-FFF2-40B4-BE49-F238E27FC236}">
              <a16:creationId xmlns:a16="http://schemas.microsoft.com/office/drawing/2014/main" id="{61C6D4BF-89E1-303D-5092-FF3E519D58F0}"/>
            </a:ext>
          </a:extLst>
        </xdr:cNvPr>
        <xdr:cNvPicPr>
          <a:picLocks noChangeAspect="1"/>
        </xdr:cNvPicPr>
      </xdr:nvPicPr>
      <xdr:blipFill>
        <a:blip xmlns:r="http://schemas.openxmlformats.org/officeDocument/2006/relationships" r:embed="rId108">
          <a:extLst>
            <a:ext uri="{96DAC541-7B7A-43D3-8B79-37D633B846F1}">
              <asvg:svgBlip xmlns:asvg="http://schemas.microsoft.com/office/drawing/2016/SVG/main" r:embed="rId109"/>
            </a:ext>
          </a:extLst>
        </a:blip>
        <a:stretch>
          <a:fillRect/>
        </a:stretch>
      </xdr:blipFill>
      <xdr:spPr>
        <a:xfrm>
          <a:off x="263236" y="53769491"/>
          <a:ext cx="1682496" cy="1682496"/>
        </a:xfrm>
        <a:prstGeom prst="rect">
          <a:avLst/>
        </a:prstGeom>
      </xdr:spPr>
    </xdr:pic>
    <xdr:clientData/>
  </xdr:twoCellAnchor>
  <xdr:twoCellAnchor editAs="oneCell">
    <xdr:from>
      <xdr:col>2</xdr:col>
      <xdr:colOff>498767</xdr:colOff>
      <xdr:row>217</xdr:row>
      <xdr:rowOff>109128</xdr:rowOff>
    </xdr:from>
    <xdr:to>
      <xdr:col>6</xdr:col>
      <xdr:colOff>207820</xdr:colOff>
      <xdr:row>223</xdr:row>
      <xdr:rowOff>55418</xdr:rowOff>
    </xdr:to>
    <xdr:pic>
      <xdr:nvPicPr>
        <xdr:cNvPr id="63" name="Afbeelding 62">
          <a:extLst>
            <a:ext uri="{FF2B5EF4-FFF2-40B4-BE49-F238E27FC236}">
              <a16:creationId xmlns:a16="http://schemas.microsoft.com/office/drawing/2014/main" id="{495B1688-12EB-9BED-9462-BE109C288C08}"/>
            </a:ext>
          </a:extLst>
        </xdr:cNvPr>
        <xdr:cNvPicPr>
          <a:picLocks noChangeAspect="1"/>
        </xdr:cNvPicPr>
      </xdr:nvPicPr>
      <xdr:blipFill>
        <a:blip xmlns:r="http://schemas.openxmlformats.org/officeDocument/2006/relationships" r:embed="rId110">
          <a:duotone>
            <a:srgbClr val="4EA72E">
              <a:shade val="45000"/>
              <a:satMod val="135000"/>
            </a:srgbClr>
            <a:prstClr val="white"/>
          </a:duotone>
          <a:extLst>
            <a:ext uri="{BEBA8EAE-BF5A-486C-A8C5-ECC9F3942E4B}">
              <a14:imgProps xmlns:a14="http://schemas.microsoft.com/office/drawing/2010/main">
                <a14:imgLayer r:embed="rId111">
                  <a14:imgEffect>
                    <a14:backgroundRemoval t="26833" b="73500" l="8667" r="91167">
                      <a14:foregroundMark x1="11667" y1="65333" x2="11833" y2="65000"/>
                      <a14:foregroundMark x1="8667" y1="65333" x2="8667" y2="65333"/>
                      <a14:foregroundMark x1="50667" y1="73500" x2="50667" y2="73500"/>
                      <a14:foregroundMark x1="88167" y1="61167" x2="88167" y2="61167"/>
                      <a14:foregroundMark x1="91167" y1="61667" x2="91167" y2="61667"/>
                      <a14:foregroundMark x1="49167" y1="26833" x2="49167" y2="26833"/>
                    </a14:backgroundRemoval>
                  </a14:imgEffect>
                </a14:imgLayer>
              </a14:imgProps>
            </a:ext>
          </a:extLst>
        </a:blip>
        <a:srcRect l="4036" t="22465" r="5055" b="24284"/>
        <a:stretch>
          <a:fillRect/>
        </a:stretch>
      </xdr:blipFill>
      <xdr:spPr>
        <a:xfrm>
          <a:off x="3103422" y="53892473"/>
          <a:ext cx="2604653" cy="1525709"/>
        </a:xfrm>
        <a:prstGeom prst="rect">
          <a:avLst/>
        </a:prstGeom>
      </xdr:spPr>
    </xdr:pic>
    <xdr:clientData/>
  </xdr:twoCellAnchor>
  <xdr:oneCellAnchor>
    <xdr:from>
      <xdr:col>3</xdr:col>
      <xdr:colOff>277088</xdr:colOff>
      <xdr:row>215</xdr:row>
      <xdr:rowOff>166254</xdr:rowOff>
    </xdr:from>
    <xdr:ext cx="1787239" cy="405432"/>
    <xdr:sp macro="" textlink="">
      <xdr:nvSpPr>
        <xdr:cNvPr id="69" name="Tekstvak 68">
          <a:extLst>
            <a:ext uri="{FF2B5EF4-FFF2-40B4-BE49-F238E27FC236}">
              <a16:creationId xmlns:a16="http://schemas.microsoft.com/office/drawing/2014/main" id="{4BFA26D1-5F65-43F7-A3B6-B8A319E5FB12}"/>
            </a:ext>
          </a:extLst>
        </xdr:cNvPr>
        <xdr:cNvSpPr txBox="1"/>
      </xdr:nvSpPr>
      <xdr:spPr>
        <a:xfrm>
          <a:off x="3629888" y="53423127"/>
          <a:ext cx="1787239"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Ruw asgehalte</a:t>
          </a:r>
        </a:p>
      </xdr:txBody>
    </xdr:sp>
    <xdr:clientData/>
  </xdr:oneCellAnchor>
  <xdr:twoCellAnchor>
    <xdr:from>
      <xdr:col>0</xdr:col>
      <xdr:colOff>1427019</xdr:colOff>
      <xdr:row>216</xdr:row>
      <xdr:rowOff>124691</xdr:rowOff>
    </xdr:from>
    <xdr:to>
      <xdr:col>1</xdr:col>
      <xdr:colOff>457200</xdr:colOff>
      <xdr:row>220</xdr:row>
      <xdr:rowOff>149652</xdr:rowOff>
    </xdr:to>
    <xdr:graphicFrame macro="">
      <xdr:nvGraphicFramePr>
        <xdr:cNvPr id="53" name="Grafiek 91">
          <a:extLst>
            <a:ext uri="{FF2B5EF4-FFF2-40B4-BE49-F238E27FC236}">
              <a16:creationId xmlns:a16="http://schemas.microsoft.com/office/drawing/2014/main" id="{3B840AC7-3E7A-4201-8F19-B1ADDB4E61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0</xdr:col>
      <xdr:colOff>1274617</xdr:colOff>
      <xdr:row>216</xdr:row>
      <xdr:rowOff>193964</xdr:rowOff>
    </xdr:from>
    <xdr:to>
      <xdr:col>1</xdr:col>
      <xdr:colOff>429489</xdr:colOff>
      <xdr:row>220</xdr:row>
      <xdr:rowOff>218925</xdr:rowOff>
    </xdr:to>
    <xdr:graphicFrame macro="">
      <xdr:nvGraphicFramePr>
        <xdr:cNvPr id="98" name="Grafiek 93">
          <a:extLst>
            <a:ext uri="{FF2B5EF4-FFF2-40B4-BE49-F238E27FC236}">
              <a16:creationId xmlns:a16="http://schemas.microsoft.com/office/drawing/2014/main" id="{176D759F-D6A5-4CB1-A924-19168B27A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0</xdr:col>
      <xdr:colOff>1413164</xdr:colOff>
      <xdr:row>216</xdr:row>
      <xdr:rowOff>124691</xdr:rowOff>
    </xdr:from>
    <xdr:to>
      <xdr:col>1</xdr:col>
      <xdr:colOff>595745</xdr:colOff>
      <xdr:row>220</xdr:row>
      <xdr:rowOff>149652</xdr:rowOff>
    </xdr:to>
    <xdr:graphicFrame macro="">
      <xdr:nvGraphicFramePr>
        <xdr:cNvPr id="111" name="Grafiek 96">
          <a:extLst>
            <a:ext uri="{FF2B5EF4-FFF2-40B4-BE49-F238E27FC236}">
              <a16:creationId xmlns:a16="http://schemas.microsoft.com/office/drawing/2014/main" id="{6D42C8AC-F73C-44E9-8FEB-852E16200F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0</xdr:col>
      <xdr:colOff>1330037</xdr:colOff>
      <xdr:row>216</xdr:row>
      <xdr:rowOff>138545</xdr:rowOff>
    </xdr:from>
    <xdr:to>
      <xdr:col>1</xdr:col>
      <xdr:colOff>360218</xdr:colOff>
      <xdr:row>220</xdr:row>
      <xdr:rowOff>163506</xdr:rowOff>
    </xdr:to>
    <xdr:graphicFrame macro="">
      <xdr:nvGraphicFramePr>
        <xdr:cNvPr id="114" name="Grafiek 97">
          <a:extLst>
            <a:ext uri="{FF2B5EF4-FFF2-40B4-BE49-F238E27FC236}">
              <a16:creationId xmlns:a16="http://schemas.microsoft.com/office/drawing/2014/main" id="{FB146E1B-EB28-40C8-990E-6084E81DAA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5</xdr:col>
      <xdr:colOff>277092</xdr:colOff>
      <xdr:row>216</xdr:row>
      <xdr:rowOff>83128</xdr:rowOff>
    </xdr:from>
    <xdr:to>
      <xdr:col>6</xdr:col>
      <xdr:colOff>526473</xdr:colOff>
      <xdr:row>220</xdr:row>
      <xdr:rowOff>108089</xdr:rowOff>
    </xdr:to>
    <xdr:graphicFrame macro="">
      <xdr:nvGraphicFramePr>
        <xdr:cNvPr id="117" name="Grafiek 99">
          <a:extLst>
            <a:ext uri="{FF2B5EF4-FFF2-40B4-BE49-F238E27FC236}">
              <a16:creationId xmlns:a16="http://schemas.microsoft.com/office/drawing/2014/main" id="{3BEE3605-399F-4F57-8530-0A011022BF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5</xdr:col>
      <xdr:colOff>360218</xdr:colOff>
      <xdr:row>215</xdr:row>
      <xdr:rowOff>166254</xdr:rowOff>
    </xdr:from>
    <xdr:to>
      <xdr:col>7</xdr:col>
      <xdr:colOff>-1</xdr:colOff>
      <xdr:row>220</xdr:row>
      <xdr:rowOff>69272</xdr:rowOff>
    </xdr:to>
    <xdr:graphicFrame macro="">
      <xdr:nvGraphicFramePr>
        <xdr:cNvPr id="126" name="Grafiek 108">
          <a:extLst>
            <a:ext uri="{FF2B5EF4-FFF2-40B4-BE49-F238E27FC236}">
              <a16:creationId xmlns:a16="http://schemas.microsoft.com/office/drawing/2014/main" id="{0F32450D-681D-4713-8EBC-9F2C8CF2D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5</xdr:col>
      <xdr:colOff>471054</xdr:colOff>
      <xdr:row>215</xdr:row>
      <xdr:rowOff>249382</xdr:rowOff>
    </xdr:from>
    <xdr:to>
      <xdr:col>7</xdr:col>
      <xdr:colOff>110835</xdr:colOff>
      <xdr:row>220</xdr:row>
      <xdr:rowOff>152400</xdr:rowOff>
    </xdr:to>
    <xdr:graphicFrame macro="">
      <xdr:nvGraphicFramePr>
        <xdr:cNvPr id="135" name="Grafiek 110">
          <a:extLst>
            <a:ext uri="{FF2B5EF4-FFF2-40B4-BE49-F238E27FC236}">
              <a16:creationId xmlns:a16="http://schemas.microsoft.com/office/drawing/2014/main" id="{00BEFC1F-0A93-4BD2-9A32-4C1D235D0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5</xdr:col>
      <xdr:colOff>290945</xdr:colOff>
      <xdr:row>216</xdr:row>
      <xdr:rowOff>41563</xdr:rowOff>
    </xdr:from>
    <xdr:to>
      <xdr:col>7</xdr:col>
      <xdr:colOff>69271</xdr:colOff>
      <xdr:row>220</xdr:row>
      <xdr:rowOff>207817</xdr:rowOff>
    </xdr:to>
    <xdr:graphicFrame macro="">
      <xdr:nvGraphicFramePr>
        <xdr:cNvPr id="27" name="Grafiek 108">
          <a:extLst>
            <a:ext uri="{FF2B5EF4-FFF2-40B4-BE49-F238E27FC236}">
              <a16:creationId xmlns:a16="http://schemas.microsoft.com/office/drawing/2014/main" id="{82AE5F9E-9B42-4AC5-85E8-1964E599C8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5</xdr:col>
      <xdr:colOff>734291</xdr:colOff>
      <xdr:row>198</xdr:row>
      <xdr:rowOff>235527</xdr:rowOff>
    </xdr:from>
    <xdr:to>
      <xdr:col>7</xdr:col>
      <xdr:colOff>221672</xdr:colOff>
      <xdr:row>202</xdr:row>
      <xdr:rowOff>108089</xdr:rowOff>
    </xdr:to>
    <xdr:graphicFrame macro="">
      <xdr:nvGraphicFramePr>
        <xdr:cNvPr id="92" name="Grafiek 91">
          <a:extLst>
            <a:ext uri="{FF2B5EF4-FFF2-40B4-BE49-F238E27FC236}">
              <a16:creationId xmlns:a16="http://schemas.microsoft.com/office/drawing/2014/main" id="{A6EF8AEE-51D3-4ABA-A1DB-99C28FEC05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5</xdr:col>
      <xdr:colOff>734291</xdr:colOff>
      <xdr:row>198</xdr:row>
      <xdr:rowOff>235527</xdr:rowOff>
    </xdr:from>
    <xdr:to>
      <xdr:col>7</xdr:col>
      <xdr:colOff>221672</xdr:colOff>
      <xdr:row>202</xdr:row>
      <xdr:rowOff>108089</xdr:rowOff>
    </xdr:to>
    <xdr:graphicFrame macro="">
      <xdr:nvGraphicFramePr>
        <xdr:cNvPr id="94" name="Grafiek 93">
          <a:extLst>
            <a:ext uri="{FF2B5EF4-FFF2-40B4-BE49-F238E27FC236}">
              <a16:creationId xmlns:a16="http://schemas.microsoft.com/office/drawing/2014/main" id="{E028122C-C608-48D6-8E2B-512ED220B2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oneCellAnchor>
    <xdr:from>
      <xdr:col>0</xdr:col>
      <xdr:colOff>803571</xdr:colOff>
      <xdr:row>226</xdr:row>
      <xdr:rowOff>124689</xdr:rowOff>
    </xdr:from>
    <xdr:ext cx="1413164" cy="405432"/>
    <xdr:sp macro="" textlink="">
      <xdr:nvSpPr>
        <xdr:cNvPr id="97" name="Tekstvak 96">
          <a:extLst>
            <a:ext uri="{FF2B5EF4-FFF2-40B4-BE49-F238E27FC236}">
              <a16:creationId xmlns:a16="http://schemas.microsoft.com/office/drawing/2014/main" id="{E5980FF1-110B-45B6-B07D-E85F17E71889}"/>
            </a:ext>
          </a:extLst>
        </xdr:cNvPr>
        <xdr:cNvSpPr txBox="1"/>
      </xdr:nvSpPr>
      <xdr:spPr>
        <a:xfrm>
          <a:off x="803571" y="56429562"/>
          <a:ext cx="1413164"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Kuilhygiëne</a:t>
          </a:r>
        </a:p>
      </xdr:txBody>
    </xdr:sp>
    <xdr:clientData/>
  </xdr:oneCellAnchor>
  <xdr:twoCellAnchor editAs="oneCell">
    <xdr:from>
      <xdr:col>0</xdr:col>
      <xdr:colOff>443346</xdr:colOff>
      <xdr:row>227</xdr:row>
      <xdr:rowOff>180110</xdr:rowOff>
    </xdr:from>
    <xdr:to>
      <xdr:col>1</xdr:col>
      <xdr:colOff>490167</xdr:colOff>
      <xdr:row>234</xdr:row>
      <xdr:rowOff>178264</xdr:rowOff>
    </xdr:to>
    <xdr:pic>
      <xdr:nvPicPr>
        <xdr:cNvPr id="109" name="Afbeelding 108">
          <a:extLst>
            <a:ext uri="{FF2B5EF4-FFF2-40B4-BE49-F238E27FC236}">
              <a16:creationId xmlns:a16="http://schemas.microsoft.com/office/drawing/2014/main" id="{8909003A-F5A2-043A-168F-F620F9E75771}"/>
            </a:ext>
          </a:extLst>
        </xdr:cNvPr>
        <xdr:cNvPicPr>
          <a:picLocks noChangeAspect="1"/>
        </xdr:cNvPicPr>
      </xdr:nvPicPr>
      <xdr:blipFill>
        <a:blip xmlns:r="http://schemas.openxmlformats.org/officeDocument/2006/relationships" r:embed="rId122">
          <a:duotone>
            <a:schemeClr val="accent6">
              <a:shade val="45000"/>
              <a:satMod val="135000"/>
            </a:schemeClr>
            <a:prstClr val="white"/>
          </a:duotone>
          <a:extLst>
            <a:ext uri="{BEBA8EAE-BF5A-486C-A8C5-ECC9F3942E4B}">
              <a14:imgProps xmlns:a14="http://schemas.microsoft.com/office/drawing/2010/main">
                <a14:imgLayer r:embed="rId123">
                  <a14:imgEffect>
                    <a14:backgroundRemoval t="17551" b="82551" l="24966" r="73469">
                      <a14:foregroundMark x1="32857" y1="31224" x2="32857" y2="31224"/>
                      <a14:foregroundMark x1="26871" y1="26939" x2="26871" y2="26939"/>
                      <a14:foregroundMark x1="32245" y1="17959" x2="32245" y2="17959"/>
                      <a14:foregroundMark x1="25170" y1="26735" x2="25170" y2="26735"/>
                      <a14:foregroundMark x1="51224" y1="82755" x2="51224" y2="82755"/>
                      <a14:foregroundMark x1="67415" y1="79898" x2="67415" y2="79898"/>
                      <a14:foregroundMark x1="72177" y1="74796" x2="72177" y2="74796"/>
                      <a14:foregroundMark x1="73469" y1="27857" x2="73469" y2="27857"/>
                      <a14:foregroundMark x1="56803" y1="42551" x2="56803" y2="42551"/>
                      <a14:foregroundMark x1="52993" y1="50816" x2="52993" y2="50816"/>
                    </a14:backgroundRemoval>
                  </a14:imgEffect>
                  <a14:imgEffect>
                    <a14:colorTemperature colorTemp="11200"/>
                  </a14:imgEffect>
                  <a14:imgEffect>
                    <a14:saturation sat="0"/>
                  </a14:imgEffect>
                  <a14:imgEffect>
                    <a14:brightnessContrast bright="40000" contrast="-40000"/>
                  </a14:imgEffect>
                </a14:imgLayer>
              </a14:imgProps>
            </a:ext>
          </a:extLst>
        </a:blip>
        <a:srcRect l="23897" t="14667" r="23748" b="14534"/>
        <a:stretch>
          <a:fillRect/>
        </a:stretch>
      </xdr:blipFill>
      <xdr:spPr>
        <a:xfrm>
          <a:off x="443346" y="56748219"/>
          <a:ext cx="2041876" cy="1840809"/>
        </a:xfrm>
        <a:prstGeom prst="rect">
          <a:avLst/>
        </a:prstGeom>
      </xdr:spPr>
    </xdr:pic>
    <xdr:clientData/>
  </xdr:twoCellAnchor>
  <xdr:twoCellAnchor>
    <xdr:from>
      <xdr:col>0</xdr:col>
      <xdr:colOff>145473</xdr:colOff>
      <xdr:row>236</xdr:row>
      <xdr:rowOff>27709</xdr:rowOff>
    </xdr:from>
    <xdr:to>
      <xdr:col>7</xdr:col>
      <xdr:colOff>568035</xdr:colOff>
      <xdr:row>246</xdr:row>
      <xdr:rowOff>138545</xdr:rowOff>
    </xdr:to>
    <xdr:graphicFrame macro="">
      <xdr:nvGraphicFramePr>
        <xdr:cNvPr id="110" name="Grafiek 109">
          <a:extLst>
            <a:ext uri="{FF2B5EF4-FFF2-40B4-BE49-F238E27FC236}">
              <a16:creationId xmlns:a16="http://schemas.microsoft.com/office/drawing/2014/main" id="{31246FF6-BFFB-196D-5EEC-6553FF067D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0</xdr:col>
      <xdr:colOff>83129</xdr:colOff>
      <xdr:row>235</xdr:row>
      <xdr:rowOff>41563</xdr:rowOff>
    </xdr:from>
    <xdr:to>
      <xdr:col>7</xdr:col>
      <xdr:colOff>595746</xdr:colOff>
      <xdr:row>246</xdr:row>
      <xdr:rowOff>138544</xdr:rowOff>
    </xdr:to>
    <xdr:graphicFrame macro="">
      <xdr:nvGraphicFramePr>
        <xdr:cNvPr id="112" name="Grafiek 111">
          <a:extLst>
            <a:ext uri="{FF2B5EF4-FFF2-40B4-BE49-F238E27FC236}">
              <a16:creationId xmlns:a16="http://schemas.microsoft.com/office/drawing/2014/main" id="{E0452BDF-BD3C-4E76-832F-16CF729B0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oneCellAnchor>
    <xdr:from>
      <xdr:col>0</xdr:col>
      <xdr:colOff>1149944</xdr:colOff>
      <xdr:row>235</xdr:row>
      <xdr:rowOff>55417</xdr:rowOff>
    </xdr:from>
    <xdr:ext cx="4724399" cy="405432"/>
    <xdr:sp macro="" textlink="">
      <xdr:nvSpPr>
        <xdr:cNvPr id="113" name="Tekstvak 112">
          <a:extLst>
            <a:ext uri="{FF2B5EF4-FFF2-40B4-BE49-F238E27FC236}">
              <a16:creationId xmlns:a16="http://schemas.microsoft.com/office/drawing/2014/main" id="{EC80584D-29AE-4FA7-BBC9-2AA9420BF960}"/>
            </a:ext>
          </a:extLst>
        </xdr:cNvPr>
        <xdr:cNvSpPr txBox="1"/>
      </xdr:nvSpPr>
      <xdr:spPr>
        <a:xfrm>
          <a:off x="1149944" y="58729417"/>
          <a:ext cx="4724399"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Balans aanvoersnelheid -</a:t>
          </a:r>
          <a:r>
            <a:rPr lang="nl-BE" sz="2000" b="1" baseline="0">
              <a:solidFill>
                <a:schemeClr val="accent6"/>
              </a:solidFill>
            </a:rPr>
            <a:t> aanrijvermogen</a:t>
          </a:r>
          <a:endParaRPr lang="nl-BE" sz="2000" b="1">
            <a:solidFill>
              <a:schemeClr val="accent6"/>
            </a:solidFill>
          </a:endParaRPr>
        </a:p>
      </xdr:txBody>
    </xdr:sp>
    <xdr:clientData/>
  </xdr:oneCellAnchor>
  <xdr:twoCellAnchor editAs="oneCell">
    <xdr:from>
      <xdr:col>2</xdr:col>
      <xdr:colOff>704490</xdr:colOff>
      <xdr:row>227</xdr:row>
      <xdr:rowOff>122957</xdr:rowOff>
    </xdr:from>
    <xdr:to>
      <xdr:col>6</xdr:col>
      <xdr:colOff>69272</xdr:colOff>
      <xdr:row>235</xdr:row>
      <xdr:rowOff>95247</xdr:rowOff>
    </xdr:to>
    <xdr:pic>
      <xdr:nvPicPr>
        <xdr:cNvPr id="115" name="Graphic 2" descr="Stopwatch met effen opvulling">
          <a:extLst>
            <a:ext uri="{FF2B5EF4-FFF2-40B4-BE49-F238E27FC236}">
              <a16:creationId xmlns:a16="http://schemas.microsoft.com/office/drawing/2014/main" id="{DF802793-2367-F745-A964-428971709485}"/>
            </a:ext>
          </a:extLst>
        </xdr:cNvPr>
        <xdr:cNvPicPr>
          <a:picLocks noChangeAspect="1"/>
        </xdr:cNvPicPr>
      </xdr:nvPicPr>
      <xdr:blipFill>
        <a:blip xmlns:r="http://schemas.openxmlformats.org/officeDocument/2006/relationships" r:embed="rId126">
          <a:extLst>
            <a:ext uri="{96DAC541-7B7A-43D3-8B79-37D633B846F1}">
              <asvg:svgBlip xmlns:asvg="http://schemas.microsoft.com/office/drawing/2016/SVG/main" r:embed="rId127"/>
            </a:ext>
          </a:extLst>
        </a:blip>
        <a:stretch>
          <a:fillRect/>
        </a:stretch>
      </xdr:blipFill>
      <xdr:spPr>
        <a:xfrm>
          <a:off x="3292415" y="58710693"/>
          <a:ext cx="2254631" cy="2157648"/>
        </a:xfrm>
        <a:prstGeom prst="rect">
          <a:avLst/>
        </a:prstGeom>
      </xdr:spPr>
    </xdr:pic>
    <xdr:clientData/>
  </xdr:twoCellAnchor>
  <xdr:oneCellAnchor>
    <xdr:from>
      <xdr:col>2</xdr:col>
      <xdr:colOff>512618</xdr:colOff>
      <xdr:row>226</xdr:row>
      <xdr:rowOff>124688</xdr:rowOff>
    </xdr:from>
    <xdr:ext cx="3048000" cy="405432"/>
    <xdr:sp macro="" textlink="">
      <xdr:nvSpPr>
        <xdr:cNvPr id="116" name="Tekstvak 115">
          <a:extLst>
            <a:ext uri="{FF2B5EF4-FFF2-40B4-BE49-F238E27FC236}">
              <a16:creationId xmlns:a16="http://schemas.microsoft.com/office/drawing/2014/main" id="{7C561902-0AAF-4CD3-AD0A-39B18CA9A179}"/>
            </a:ext>
          </a:extLst>
        </xdr:cNvPr>
        <xdr:cNvSpPr txBox="1"/>
      </xdr:nvSpPr>
      <xdr:spPr>
        <a:xfrm>
          <a:off x="3117273" y="56429561"/>
          <a:ext cx="3048000"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Tijd tot afdekken/wikkelen</a:t>
          </a:r>
        </a:p>
      </xdr:txBody>
    </xdr:sp>
    <xdr:clientData/>
  </xdr:oneCellAnchor>
  <xdr:twoCellAnchor>
    <xdr:from>
      <xdr:col>0</xdr:col>
      <xdr:colOff>1801091</xdr:colOff>
      <xdr:row>229</xdr:row>
      <xdr:rowOff>69272</xdr:rowOff>
    </xdr:from>
    <xdr:to>
      <xdr:col>2</xdr:col>
      <xdr:colOff>221672</xdr:colOff>
      <xdr:row>233</xdr:row>
      <xdr:rowOff>94234</xdr:rowOff>
    </xdr:to>
    <xdr:graphicFrame macro="">
      <xdr:nvGraphicFramePr>
        <xdr:cNvPr id="118" name="Grafiek 97">
          <a:extLst>
            <a:ext uri="{FF2B5EF4-FFF2-40B4-BE49-F238E27FC236}">
              <a16:creationId xmlns:a16="http://schemas.microsoft.com/office/drawing/2014/main" id="{F3BCA27B-0F86-4575-BC26-D9C39BE19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0</xdr:col>
      <xdr:colOff>1773382</xdr:colOff>
      <xdr:row>229</xdr:row>
      <xdr:rowOff>96981</xdr:rowOff>
    </xdr:from>
    <xdr:to>
      <xdr:col>2</xdr:col>
      <xdr:colOff>290945</xdr:colOff>
      <xdr:row>233</xdr:row>
      <xdr:rowOff>121943</xdr:rowOff>
    </xdr:to>
    <xdr:graphicFrame macro="">
      <xdr:nvGraphicFramePr>
        <xdr:cNvPr id="125" name="Grafiek 97">
          <a:extLst>
            <a:ext uri="{FF2B5EF4-FFF2-40B4-BE49-F238E27FC236}">
              <a16:creationId xmlns:a16="http://schemas.microsoft.com/office/drawing/2014/main" id="{ABB34A6D-1432-4F1B-A0C8-59E3FC55C9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0</xdr:col>
      <xdr:colOff>1759527</xdr:colOff>
      <xdr:row>229</xdr:row>
      <xdr:rowOff>96982</xdr:rowOff>
    </xdr:from>
    <xdr:to>
      <xdr:col>2</xdr:col>
      <xdr:colOff>304799</xdr:colOff>
      <xdr:row>233</xdr:row>
      <xdr:rowOff>121944</xdr:rowOff>
    </xdr:to>
    <xdr:graphicFrame macro="">
      <xdr:nvGraphicFramePr>
        <xdr:cNvPr id="131" name="Grafiek 97">
          <a:extLst>
            <a:ext uri="{FF2B5EF4-FFF2-40B4-BE49-F238E27FC236}">
              <a16:creationId xmlns:a16="http://schemas.microsoft.com/office/drawing/2014/main" id="{044FFC73-6241-42C1-AE73-19E5C71E49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0</xdr:col>
      <xdr:colOff>1759528</xdr:colOff>
      <xdr:row>229</xdr:row>
      <xdr:rowOff>152401</xdr:rowOff>
    </xdr:from>
    <xdr:to>
      <xdr:col>2</xdr:col>
      <xdr:colOff>180109</xdr:colOff>
      <xdr:row>233</xdr:row>
      <xdr:rowOff>177363</xdr:rowOff>
    </xdr:to>
    <xdr:graphicFrame macro="">
      <xdr:nvGraphicFramePr>
        <xdr:cNvPr id="134" name="Grafiek 97">
          <a:extLst>
            <a:ext uri="{FF2B5EF4-FFF2-40B4-BE49-F238E27FC236}">
              <a16:creationId xmlns:a16="http://schemas.microsoft.com/office/drawing/2014/main" id="{3F44F8B6-21CF-4BCE-9481-28B4DE649A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5</xdr:col>
      <xdr:colOff>471056</xdr:colOff>
      <xdr:row>227</xdr:row>
      <xdr:rowOff>13855</xdr:rowOff>
    </xdr:from>
    <xdr:to>
      <xdr:col>6</xdr:col>
      <xdr:colOff>568037</xdr:colOff>
      <xdr:row>231</xdr:row>
      <xdr:rowOff>38816</xdr:rowOff>
    </xdr:to>
    <xdr:graphicFrame macro="">
      <xdr:nvGraphicFramePr>
        <xdr:cNvPr id="136" name="Grafiek 97">
          <a:extLst>
            <a:ext uri="{FF2B5EF4-FFF2-40B4-BE49-F238E27FC236}">
              <a16:creationId xmlns:a16="http://schemas.microsoft.com/office/drawing/2014/main" id="{07ED254D-56E3-41FB-833E-37DEABD93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5</xdr:col>
      <xdr:colOff>471054</xdr:colOff>
      <xdr:row>227</xdr:row>
      <xdr:rowOff>166255</xdr:rowOff>
    </xdr:from>
    <xdr:to>
      <xdr:col>7</xdr:col>
      <xdr:colOff>69272</xdr:colOff>
      <xdr:row>231</xdr:row>
      <xdr:rowOff>191216</xdr:rowOff>
    </xdr:to>
    <xdr:graphicFrame macro="">
      <xdr:nvGraphicFramePr>
        <xdr:cNvPr id="137" name="Grafiek 97">
          <a:extLst>
            <a:ext uri="{FF2B5EF4-FFF2-40B4-BE49-F238E27FC236}">
              <a16:creationId xmlns:a16="http://schemas.microsoft.com/office/drawing/2014/main" id="{AEB492AA-0BDC-4A3E-BE4A-9DD8883BD6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5</xdr:col>
      <xdr:colOff>512619</xdr:colOff>
      <xdr:row>227</xdr:row>
      <xdr:rowOff>83127</xdr:rowOff>
    </xdr:from>
    <xdr:to>
      <xdr:col>7</xdr:col>
      <xdr:colOff>0</xdr:colOff>
      <xdr:row>231</xdr:row>
      <xdr:rowOff>108088</xdr:rowOff>
    </xdr:to>
    <xdr:graphicFrame macro="">
      <xdr:nvGraphicFramePr>
        <xdr:cNvPr id="138" name="Grafiek 97">
          <a:extLst>
            <a:ext uri="{FF2B5EF4-FFF2-40B4-BE49-F238E27FC236}">
              <a16:creationId xmlns:a16="http://schemas.microsoft.com/office/drawing/2014/main" id="{566B504A-F75F-4963-92E7-F1B3688585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2</xdr:col>
      <xdr:colOff>429491</xdr:colOff>
      <xdr:row>236</xdr:row>
      <xdr:rowOff>27710</xdr:rowOff>
    </xdr:from>
    <xdr:to>
      <xdr:col>4</xdr:col>
      <xdr:colOff>96982</xdr:colOff>
      <xdr:row>240</xdr:row>
      <xdr:rowOff>52671</xdr:rowOff>
    </xdr:to>
    <xdr:graphicFrame macro="">
      <xdr:nvGraphicFramePr>
        <xdr:cNvPr id="140" name="Grafiek 97">
          <a:extLst>
            <a:ext uri="{FF2B5EF4-FFF2-40B4-BE49-F238E27FC236}">
              <a16:creationId xmlns:a16="http://schemas.microsoft.com/office/drawing/2014/main" id="{F2369229-90D4-4A19-B1C7-DC9530613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2</xdr:col>
      <xdr:colOff>415636</xdr:colOff>
      <xdr:row>236</xdr:row>
      <xdr:rowOff>124691</xdr:rowOff>
    </xdr:from>
    <xdr:to>
      <xdr:col>4</xdr:col>
      <xdr:colOff>83127</xdr:colOff>
      <xdr:row>240</xdr:row>
      <xdr:rowOff>149652</xdr:rowOff>
    </xdr:to>
    <xdr:graphicFrame macro="">
      <xdr:nvGraphicFramePr>
        <xdr:cNvPr id="141" name="Grafiek 97">
          <a:extLst>
            <a:ext uri="{FF2B5EF4-FFF2-40B4-BE49-F238E27FC236}">
              <a16:creationId xmlns:a16="http://schemas.microsoft.com/office/drawing/2014/main" id="{BDAD7593-B4EF-43AA-B8B5-6E1455594A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editAs="oneCell">
    <xdr:from>
      <xdr:col>19</xdr:col>
      <xdr:colOff>531963</xdr:colOff>
      <xdr:row>263</xdr:row>
      <xdr:rowOff>46087</xdr:rowOff>
    </xdr:from>
    <xdr:to>
      <xdr:col>24</xdr:col>
      <xdr:colOff>345057</xdr:colOff>
      <xdr:row>272</xdr:row>
      <xdr:rowOff>214101</xdr:rowOff>
    </xdr:to>
    <xdr:pic>
      <xdr:nvPicPr>
        <xdr:cNvPr id="178" name="Afbeelding 177">
          <a:extLst>
            <a:ext uri="{FF2B5EF4-FFF2-40B4-BE49-F238E27FC236}">
              <a16:creationId xmlns:a16="http://schemas.microsoft.com/office/drawing/2014/main" id="{0AB10F2D-D8AE-BEB0-4108-7D99FA158965}"/>
            </a:ext>
          </a:extLst>
        </xdr:cNvPr>
        <xdr:cNvPicPr>
          <a:picLocks noChangeAspect="1"/>
        </xdr:cNvPicPr>
      </xdr:nvPicPr>
      <xdr:blipFill>
        <a:blip xmlns:r="http://schemas.openxmlformats.org/officeDocument/2006/relationships" r:embed="rId137">
          <a:duotone>
            <a:schemeClr val="accent6">
              <a:shade val="45000"/>
              <a:satMod val="135000"/>
            </a:schemeClr>
            <a:prstClr val="white"/>
          </a:duotone>
          <a:extLst>
            <a:ext uri="{BEBA8EAE-BF5A-486C-A8C5-ECC9F3942E4B}">
              <a14:imgProps xmlns:a14="http://schemas.microsoft.com/office/drawing/2010/main">
                <a14:imgLayer r:embed="rId138">
                  <a14:imgEffect>
                    <a14:saturation sat="0"/>
                  </a14:imgEffect>
                </a14:imgLayer>
              </a14:imgProps>
            </a:ext>
          </a:extLst>
        </a:blip>
        <a:stretch>
          <a:fillRect/>
        </a:stretch>
      </xdr:blipFill>
      <xdr:spPr>
        <a:xfrm>
          <a:off x="14377359" y="68884879"/>
          <a:ext cx="3781245" cy="2626543"/>
        </a:xfrm>
        <a:prstGeom prst="rect">
          <a:avLst/>
        </a:prstGeom>
      </xdr:spPr>
    </xdr:pic>
    <xdr:clientData/>
  </xdr:twoCellAnchor>
  <xdr:twoCellAnchor>
    <xdr:from>
      <xdr:col>13</xdr:col>
      <xdr:colOff>28756</xdr:colOff>
      <xdr:row>267</xdr:row>
      <xdr:rowOff>35508</xdr:rowOff>
    </xdr:from>
    <xdr:to>
      <xdr:col>17</xdr:col>
      <xdr:colOff>452888</xdr:colOff>
      <xdr:row>273</xdr:row>
      <xdr:rowOff>120765</xdr:rowOff>
    </xdr:to>
    <xdr:graphicFrame macro="">
      <xdr:nvGraphicFramePr>
        <xdr:cNvPr id="179" name="Grafiek 178">
          <a:extLst>
            <a:ext uri="{FF2B5EF4-FFF2-40B4-BE49-F238E27FC236}">
              <a16:creationId xmlns:a16="http://schemas.microsoft.com/office/drawing/2014/main" id="{84B494BB-2F0F-23CB-F274-98C5AEFA39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oneCellAnchor>
    <xdr:from>
      <xdr:col>13</xdr:col>
      <xdr:colOff>330678</xdr:colOff>
      <xdr:row>274</xdr:row>
      <xdr:rowOff>14377</xdr:rowOff>
    </xdr:from>
    <xdr:ext cx="2055963" cy="405432"/>
    <xdr:sp macro="" textlink="">
      <xdr:nvSpPr>
        <xdr:cNvPr id="180" name="Tekstvak 179">
          <a:extLst>
            <a:ext uri="{FF2B5EF4-FFF2-40B4-BE49-F238E27FC236}">
              <a16:creationId xmlns:a16="http://schemas.microsoft.com/office/drawing/2014/main" id="{E055A12D-2CBD-446E-B700-E2924BA20F9A}"/>
            </a:ext>
          </a:extLst>
        </xdr:cNvPr>
        <xdr:cNvSpPr txBox="1"/>
      </xdr:nvSpPr>
      <xdr:spPr>
        <a:xfrm>
          <a:off x="10552980" y="71858037"/>
          <a:ext cx="2055963"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Mollenbestrijding</a:t>
          </a:r>
        </a:p>
      </xdr:txBody>
    </xdr:sp>
    <xdr:clientData/>
  </xdr:oneCellAnchor>
  <xdr:twoCellAnchor>
    <xdr:from>
      <xdr:col>16</xdr:col>
      <xdr:colOff>158151</xdr:colOff>
      <xdr:row>271</xdr:row>
      <xdr:rowOff>28755</xdr:rowOff>
    </xdr:from>
    <xdr:to>
      <xdr:col>17</xdr:col>
      <xdr:colOff>573264</xdr:colOff>
      <xdr:row>275</xdr:row>
      <xdr:rowOff>53716</xdr:rowOff>
    </xdr:to>
    <xdr:graphicFrame macro="">
      <xdr:nvGraphicFramePr>
        <xdr:cNvPr id="182" name="Grafiek 97">
          <a:extLst>
            <a:ext uri="{FF2B5EF4-FFF2-40B4-BE49-F238E27FC236}">
              <a16:creationId xmlns:a16="http://schemas.microsoft.com/office/drawing/2014/main" id="{9509C789-903B-4A33-89BB-066EEA8682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16</xdr:col>
      <xdr:colOff>172528</xdr:colOff>
      <xdr:row>271</xdr:row>
      <xdr:rowOff>43132</xdr:rowOff>
    </xdr:from>
    <xdr:to>
      <xdr:col>17</xdr:col>
      <xdr:colOff>587641</xdr:colOff>
      <xdr:row>275</xdr:row>
      <xdr:rowOff>68093</xdr:rowOff>
    </xdr:to>
    <xdr:graphicFrame macro="">
      <xdr:nvGraphicFramePr>
        <xdr:cNvPr id="183" name="Grafiek 97">
          <a:extLst>
            <a:ext uri="{FF2B5EF4-FFF2-40B4-BE49-F238E27FC236}">
              <a16:creationId xmlns:a16="http://schemas.microsoft.com/office/drawing/2014/main" id="{71648D08-7BC5-400B-A2A9-C7A3F3DDA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13</xdr:col>
      <xdr:colOff>589471</xdr:colOff>
      <xdr:row>269</xdr:row>
      <xdr:rowOff>86265</xdr:rowOff>
    </xdr:from>
    <xdr:to>
      <xdr:col>16</xdr:col>
      <xdr:colOff>256961</xdr:colOff>
      <xdr:row>274</xdr:row>
      <xdr:rowOff>186906</xdr:rowOff>
    </xdr:to>
    <xdr:graphicFrame macro="">
      <xdr:nvGraphicFramePr>
        <xdr:cNvPr id="184" name="Grafiek 97">
          <a:extLst>
            <a:ext uri="{FF2B5EF4-FFF2-40B4-BE49-F238E27FC236}">
              <a16:creationId xmlns:a16="http://schemas.microsoft.com/office/drawing/2014/main" id="{FFCC6A90-AEBA-454C-9C8C-9377B25B42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oneCellAnchor>
    <xdr:from>
      <xdr:col>6</xdr:col>
      <xdr:colOff>554957</xdr:colOff>
      <xdr:row>273</xdr:row>
      <xdr:rowOff>138024</xdr:rowOff>
    </xdr:from>
    <xdr:ext cx="2493035" cy="718530"/>
    <xdr:sp macro="" textlink="">
      <xdr:nvSpPr>
        <xdr:cNvPr id="185" name="Tekstvak 184">
          <a:extLst>
            <a:ext uri="{FF2B5EF4-FFF2-40B4-BE49-F238E27FC236}">
              <a16:creationId xmlns:a16="http://schemas.microsoft.com/office/drawing/2014/main" id="{D68474CB-0E26-4B47-B778-26AD3E9948C4}"/>
            </a:ext>
          </a:extLst>
        </xdr:cNvPr>
        <xdr:cNvSpPr txBox="1"/>
      </xdr:nvSpPr>
      <xdr:spPr>
        <a:xfrm>
          <a:off x="6032731" y="71708515"/>
          <a:ext cx="2493035" cy="718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Voorkomen insporing &amp; bodemverdichting</a:t>
          </a:r>
        </a:p>
      </xdr:txBody>
    </xdr:sp>
    <xdr:clientData/>
  </xdr:oneCellAnchor>
  <xdr:twoCellAnchor>
    <xdr:from>
      <xdr:col>5</xdr:col>
      <xdr:colOff>618232</xdr:colOff>
      <xdr:row>268</xdr:row>
      <xdr:rowOff>129397</xdr:rowOff>
    </xdr:from>
    <xdr:to>
      <xdr:col>12</xdr:col>
      <xdr:colOff>165345</xdr:colOff>
      <xdr:row>273</xdr:row>
      <xdr:rowOff>115019</xdr:rowOff>
    </xdr:to>
    <xdr:graphicFrame macro="">
      <xdr:nvGraphicFramePr>
        <xdr:cNvPr id="186" name="Grafiek 185">
          <a:extLst>
            <a:ext uri="{FF2B5EF4-FFF2-40B4-BE49-F238E27FC236}">
              <a16:creationId xmlns:a16="http://schemas.microsoft.com/office/drawing/2014/main" id="{0B88233F-8102-411B-2A15-C97128985B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10</xdr:col>
      <xdr:colOff>431320</xdr:colOff>
      <xdr:row>271</xdr:row>
      <xdr:rowOff>100641</xdr:rowOff>
    </xdr:from>
    <xdr:to>
      <xdr:col>11</xdr:col>
      <xdr:colOff>846433</xdr:colOff>
      <xdr:row>275</xdr:row>
      <xdr:rowOff>125602</xdr:rowOff>
    </xdr:to>
    <xdr:graphicFrame macro="">
      <xdr:nvGraphicFramePr>
        <xdr:cNvPr id="187" name="Grafiek 97">
          <a:extLst>
            <a:ext uri="{FF2B5EF4-FFF2-40B4-BE49-F238E27FC236}">
              <a16:creationId xmlns:a16="http://schemas.microsoft.com/office/drawing/2014/main" id="{1A44582C-D6DB-49AA-AEBF-6A85D8CC98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10</xdr:col>
      <xdr:colOff>431320</xdr:colOff>
      <xdr:row>271</xdr:row>
      <xdr:rowOff>100641</xdr:rowOff>
    </xdr:from>
    <xdr:to>
      <xdr:col>11</xdr:col>
      <xdr:colOff>846433</xdr:colOff>
      <xdr:row>275</xdr:row>
      <xdr:rowOff>125602</xdr:rowOff>
    </xdr:to>
    <xdr:graphicFrame macro="">
      <xdr:nvGraphicFramePr>
        <xdr:cNvPr id="188" name="Grafiek 97">
          <a:extLst>
            <a:ext uri="{FF2B5EF4-FFF2-40B4-BE49-F238E27FC236}">
              <a16:creationId xmlns:a16="http://schemas.microsoft.com/office/drawing/2014/main" id="{8C6E7B8D-2CE3-4986-A347-4F8DFD3836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oneCellAnchor>
    <xdr:from>
      <xdr:col>0</xdr:col>
      <xdr:colOff>603849</xdr:colOff>
      <xdr:row>259</xdr:row>
      <xdr:rowOff>71886</xdr:rowOff>
    </xdr:from>
    <xdr:ext cx="2242868" cy="405432"/>
    <xdr:sp macro="" textlink="">
      <xdr:nvSpPr>
        <xdr:cNvPr id="189" name="Tekstvak 188">
          <a:extLst>
            <a:ext uri="{FF2B5EF4-FFF2-40B4-BE49-F238E27FC236}">
              <a16:creationId xmlns:a16="http://schemas.microsoft.com/office/drawing/2014/main" id="{14E73EE8-9C5F-4CD1-A3B9-3C9BFAE7B99A}"/>
            </a:ext>
          </a:extLst>
        </xdr:cNvPr>
        <xdr:cNvSpPr txBox="1"/>
      </xdr:nvSpPr>
      <xdr:spPr>
        <a:xfrm>
          <a:off x="603849" y="67817999"/>
          <a:ext cx="2242868"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Onkruidbestrijding</a:t>
          </a:r>
        </a:p>
      </xdr:txBody>
    </xdr:sp>
    <xdr:clientData/>
  </xdr:oneCellAnchor>
  <xdr:twoCellAnchor>
    <xdr:from>
      <xdr:col>7</xdr:col>
      <xdr:colOff>488829</xdr:colOff>
      <xdr:row>269</xdr:row>
      <xdr:rowOff>14379</xdr:rowOff>
    </xdr:from>
    <xdr:to>
      <xdr:col>10</xdr:col>
      <xdr:colOff>129396</xdr:colOff>
      <xdr:row>274</xdr:row>
      <xdr:rowOff>71888</xdr:rowOff>
    </xdr:to>
    <xdr:graphicFrame macro="">
      <xdr:nvGraphicFramePr>
        <xdr:cNvPr id="190" name="Grafiek 97">
          <a:extLst>
            <a:ext uri="{FF2B5EF4-FFF2-40B4-BE49-F238E27FC236}">
              <a16:creationId xmlns:a16="http://schemas.microsoft.com/office/drawing/2014/main" id="{144B236E-CA68-4A74-A850-3FFFA92D15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oneCellAnchor>
    <xdr:from>
      <xdr:col>22</xdr:col>
      <xdr:colOff>747623</xdr:colOff>
      <xdr:row>264</xdr:row>
      <xdr:rowOff>129397</xdr:rowOff>
    </xdr:from>
    <xdr:ext cx="2055963" cy="405432"/>
    <xdr:sp macro="" textlink="">
      <xdr:nvSpPr>
        <xdr:cNvPr id="191" name="Tekstvak 190">
          <a:extLst>
            <a:ext uri="{FF2B5EF4-FFF2-40B4-BE49-F238E27FC236}">
              <a16:creationId xmlns:a16="http://schemas.microsoft.com/office/drawing/2014/main" id="{63054B44-E2EC-435E-A79F-F4EC1B3A5B31}"/>
            </a:ext>
          </a:extLst>
        </xdr:cNvPr>
        <xdr:cNvSpPr txBox="1"/>
      </xdr:nvSpPr>
      <xdr:spPr>
        <a:xfrm>
          <a:off x="16720868" y="69241359"/>
          <a:ext cx="2055963"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Zodebeoordeling</a:t>
          </a:r>
        </a:p>
      </xdr:txBody>
    </xdr:sp>
    <xdr:clientData/>
  </xdr:oneCellAnchor>
  <xdr:twoCellAnchor>
    <xdr:from>
      <xdr:col>23</xdr:col>
      <xdr:colOff>704491</xdr:colOff>
      <xdr:row>265</xdr:row>
      <xdr:rowOff>57510</xdr:rowOff>
    </xdr:from>
    <xdr:to>
      <xdr:col>24</xdr:col>
      <xdr:colOff>803302</xdr:colOff>
      <xdr:row>269</xdr:row>
      <xdr:rowOff>82471</xdr:rowOff>
    </xdr:to>
    <xdr:graphicFrame macro="">
      <xdr:nvGraphicFramePr>
        <xdr:cNvPr id="192" name="Grafiek 97">
          <a:extLst>
            <a:ext uri="{FF2B5EF4-FFF2-40B4-BE49-F238E27FC236}">
              <a16:creationId xmlns:a16="http://schemas.microsoft.com/office/drawing/2014/main" id="{177C421F-9FC7-45C1-844C-B394082C7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23</xdr:col>
      <xdr:colOff>704490</xdr:colOff>
      <xdr:row>265</xdr:row>
      <xdr:rowOff>57509</xdr:rowOff>
    </xdr:from>
    <xdr:to>
      <xdr:col>25</xdr:col>
      <xdr:colOff>43131</xdr:colOff>
      <xdr:row>269</xdr:row>
      <xdr:rowOff>82470</xdr:rowOff>
    </xdr:to>
    <xdr:graphicFrame macro="">
      <xdr:nvGraphicFramePr>
        <xdr:cNvPr id="193" name="Grafiek 97">
          <a:extLst>
            <a:ext uri="{FF2B5EF4-FFF2-40B4-BE49-F238E27FC236}">
              <a16:creationId xmlns:a16="http://schemas.microsoft.com/office/drawing/2014/main" id="{13E3B6D4-EAAA-4542-8C0E-8E58BB3893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23</xdr:col>
      <xdr:colOff>546340</xdr:colOff>
      <xdr:row>265</xdr:row>
      <xdr:rowOff>158151</xdr:rowOff>
    </xdr:from>
    <xdr:to>
      <xdr:col>24</xdr:col>
      <xdr:colOff>788924</xdr:colOff>
      <xdr:row>269</xdr:row>
      <xdr:rowOff>183112</xdr:rowOff>
    </xdr:to>
    <xdr:graphicFrame macro="">
      <xdr:nvGraphicFramePr>
        <xdr:cNvPr id="194" name="Grafiek 97">
          <a:extLst>
            <a:ext uri="{FF2B5EF4-FFF2-40B4-BE49-F238E27FC236}">
              <a16:creationId xmlns:a16="http://schemas.microsoft.com/office/drawing/2014/main" id="{A5B9CA87-F5AB-427E-BCA2-E85E4C19D4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7</xdr:col>
      <xdr:colOff>445698</xdr:colOff>
      <xdr:row>261</xdr:row>
      <xdr:rowOff>43133</xdr:rowOff>
    </xdr:from>
    <xdr:to>
      <xdr:col>9</xdr:col>
      <xdr:colOff>244414</xdr:colOff>
      <xdr:row>265</xdr:row>
      <xdr:rowOff>82471</xdr:rowOff>
    </xdr:to>
    <xdr:graphicFrame macro="">
      <xdr:nvGraphicFramePr>
        <xdr:cNvPr id="201" name="Grafiek 97">
          <a:extLst>
            <a:ext uri="{FF2B5EF4-FFF2-40B4-BE49-F238E27FC236}">
              <a16:creationId xmlns:a16="http://schemas.microsoft.com/office/drawing/2014/main" id="{F89DE9C4-BE22-4B31-BC9F-F4BEEA82E1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6</xdr:col>
      <xdr:colOff>43132</xdr:colOff>
      <xdr:row>262</xdr:row>
      <xdr:rowOff>57509</xdr:rowOff>
    </xdr:from>
    <xdr:to>
      <xdr:col>7</xdr:col>
      <xdr:colOff>156321</xdr:colOff>
      <xdr:row>264</xdr:row>
      <xdr:rowOff>254998</xdr:rowOff>
    </xdr:to>
    <xdr:graphicFrame macro="">
      <xdr:nvGraphicFramePr>
        <xdr:cNvPr id="210" name="Grafiek 97">
          <a:extLst>
            <a:ext uri="{FF2B5EF4-FFF2-40B4-BE49-F238E27FC236}">
              <a16:creationId xmlns:a16="http://schemas.microsoft.com/office/drawing/2014/main" id="{62BF1970-1DCE-4451-B421-C7F49E2D1A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twoCellAnchor>
    <xdr:from>
      <xdr:col>23</xdr:col>
      <xdr:colOff>517585</xdr:colOff>
      <xdr:row>265</xdr:row>
      <xdr:rowOff>129396</xdr:rowOff>
    </xdr:from>
    <xdr:to>
      <xdr:col>24</xdr:col>
      <xdr:colOff>616396</xdr:colOff>
      <xdr:row>269</xdr:row>
      <xdr:rowOff>154357</xdr:rowOff>
    </xdr:to>
    <xdr:graphicFrame macro="">
      <xdr:nvGraphicFramePr>
        <xdr:cNvPr id="195" name="Grafiek 97">
          <a:extLst>
            <a:ext uri="{FF2B5EF4-FFF2-40B4-BE49-F238E27FC236}">
              <a16:creationId xmlns:a16="http://schemas.microsoft.com/office/drawing/2014/main" id="{9D901761-9365-46F5-A11A-385773E78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2"/>
        </a:graphicData>
      </a:graphic>
    </xdr:graphicFrame>
    <xdr:clientData/>
  </xdr:twoCellAnchor>
  <xdr:twoCellAnchor>
    <xdr:from>
      <xdr:col>3</xdr:col>
      <xdr:colOff>150962</xdr:colOff>
      <xdr:row>258</xdr:row>
      <xdr:rowOff>51759</xdr:rowOff>
    </xdr:from>
    <xdr:to>
      <xdr:col>10</xdr:col>
      <xdr:colOff>165339</xdr:colOff>
      <xdr:row>267</xdr:row>
      <xdr:rowOff>115019</xdr:rowOff>
    </xdr:to>
    <xdr:graphicFrame macro="">
      <xdr:nvGraphicFramePr>
        <xdr:cNvPr id="196" name="Grafiek 195">
          <a:extLst>
            <a:ext uri="{FF2B5EF4-FFF2-40B4-BE49-F238E27FC236}">
              <a16:creationId xmlns:a16="http://schemas.microsoft.com/office/drawing/2014/main" id="{EA983AEA-EE1B-2C67-F3AC-B5221B2A0E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3"/>
        </a:graphicData>
      </a:graphic>
    </xdr:graphicFrame>
    <xdr:clientData/>
  </xdr:twoCellAnchor>
  <xdr:twoCellAnchor editAs="oneCell">
    <xdr:from>
      <xdr:col>10</xdr:col>
      <xdr:colOff>57509</xdr:colOff>
      <xdr:row>264</xdr:row>
      <xdr:rowOff>433</xdr:rowOff>
    </xdr:from>
    <xdr:to>
      <xdr:col>13</xdr:col>
      <xdr:colOff>285403</xdr:colOff>
      <xdr:row>266</xdr:row>
      <xdr:rowOff>230037</xdr:rowOff>
    </xdr:to>
    <xdr:pic>
      <xdr:nvPicPr>
        <xdr:cNvPr id="197" name="Afbeelding 196">
          <a:extLst>
            <a:ext uri="{FF2B5EF4-FFF2-40B4-BE49-F238E27FC236}">
              <a16:creationId xmlns:a16="http://schemas.microsoft.com/office/drawing/2014/main" id="{3925D1C0-B070-F7DD-9693-83CE9ECEBC3D}"/>
            </a:ext>
          </a:extLst>
        </xdr:cNvPr>
        <xdr:cNvPicPr>
          <a:picLocks noChangeAspect="1"/>
        </xdr:cNvPicPr>
      </xdr:nvPicPr>
      <xdr:blipFill>
        <a:blip xmlns:r="http://schemas.openxmlformats.org/officeDocument/2006/relationships" r:embed="rId154"/>
        <a:stretch>
          <a:fillRect/>
        </a:stretch>
      </xdr:blipFill>
      <xdr:spPr>
        <a:xfrm>
          <a:off x="7950679" y="69112395"/>
          <a:ext cx="2557026" cy="775944"/>
        </a:xfrm>
        <a:prstGeom prst="rect">
          <a:avLst/>
        </a:prstGeom>
      </xdr:spPr>
    </xdr:pic>
    <xdr:clientData/>
  </xdr:twoCellAnchor>
  <xdr:twoCellAnchor>
    <xdr:from>
      <xdr:col>9</xdr:col>
      <xdr:colOff>546340</xdr:colOff>
      <xdr:row>262</xdr:row>
      <xdr:rowOff>57509</xdr:rowOff>
    </xdr:from>
    <xdr:to>
      <xdr:col>13</xdr:col>
      <xdr:colOff>445699</xdr:colOff>
      <xdr:row>267</xdr:row>
      <xdr:rowOff>34505</xdr:rowOff>
    </xdr:to>
    <xdr:graphicFrame macro="">
      <xdr:nvGraphicFramePr>
        <xdr:cNvPr id="198" name="Grafiek 197">
          <a:extLst>
            <a:ext uri="{FF2B5EF4-FFF2-40B4-BE49-F238E27FC236}">
              <a16:creationId xmlns:a16="http://schemas.microsoft.com/office/drawing/2014/main" id="{7CB5553C-1913-4C89-86C0-5BB9EFF79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5"/>
        </a:graphicData>
      </a:graphic>
    </xdr:graphicFrame>
    <xdr:clientData/>
  </xdr:twoCellAnchor>
  <xdr:twoCellAnchor>
    <xdr:from>
      <xdr:col>0</xdr:col>
      <xdr:colOff>1092679</xdr:colOff>
      <xdr:row>260</xdr:row>
      <xdr:rowOff>129397</xdr:rowOff>
    </xdr:from>
    <xdr:to>
      <xdr:col>1</xdr:col>
      <xdr:colOff>127566</xdr:colOff>
      <xdr:row>264</xdr:row>
      <xdr:rowOff>154358</xdr:rowOff>
    </xdr:to>
    <xdr:graphicFrame macro="">
      <xdr:nvGraphicFramePr>
        <xdr:cNvPr id="199" name="Grafiek 97">
          <a:extLst>
            <a:ext uri="{FF2B5EF4-FFF2-40B4-BE49-F238E27FC236}">
              <a16:creationId xmlns:a16="http://schemas.microsoft.com/office/drawing/2014/main" id="{CCFFAA33-6733-4772-AC0D-0D149D960C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6"/>
        </a:graphicData>
      </a:graphic>
    </xdr:graphicFrame>
    <xdr:clientData/>
  </xdr:twoCellAnchor>
  <xdr:twoCellAnchor>
    <xdr:from>
      <xdr:col>15</xdr:col>
      <xdr:colOff>115019</xdr:colOff>
      <xdr:row>266</xdr:row>
      <xdr:rowOff>172530</xdr:rowOff>
    </xdr:from>
    <xdr:to>
      <xdr:col>16</xdr:col>
      <xdr:colOff>530132</xdr:colOff>
      <xdr:row>270</xdr:row>
      <xdr:rowOff>197491</xdr:rowOff>
    </xdr:to>
    <xdr:graphicFrame macro="">
      <xdr:nvGraphicFramePr>
        <xdr:cNvPr id="200" name="Grafiek 97">
          <a:extLst>
            <a:ext uri="{FF2B5EF4-FFF2-40B4-BE49-F238E27FC236}">
              <a16:creationId xmlns:a16="http://schemas.microsoft.com/office/drawing/2014/main" id="{33765A54-2C80-4B57-8BE9-D352ACB84E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7"/>
        </a:graphicData>
      </a:graphic>
    </xdr:graphicFrame>
    <xdr:clientData/>
  </xdr:twoCellAnchor>
  <xdr:twoCellAnchor>
    <xdr:from>
      <xdr:col>11</xdr:col>
      <xdr:colOff>891397</xdr:colOff>
      <xdr:row>265</xdr:row>
      <xdr:rowOff>158152</xdr:rowOff>
    </xdr:from>
    <xdr:to>
      <xdr:col>13</xdr:col>
      <xdr:colOff>345056</xdr:colOff>
      <xdr:row>270</xdr:row>
      <xdr:rowOff>269377</xdr:rowOff>
    </xdr:to>
    <xdr:graphicFrame macro="">
      <xdr:nvGraphicFramePr>
        <xdr:cNvPr id="202" name="Grafiek 97">
          <a:extLst>
            <a:ext uri="{FF2B5EF4-FFF2-40B4-BE49-F238E27FC236}">
              <a16:creationId xmlns:a16="http://schemas.microsoft.com/office/drawing/2014/main" id="{F8A115B9-E0FF-4B26-A12B-48F505013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8"/>
        </a:graphicData>
      </a:graphic>
    </xdr:graphicFrame>
    <xdr:clientData/>
  </xdr:twoCellAnchor>
  <xdr:twoCellAnchor>
    <xdr:from>
      <xdr:col>17</xdr:col>
      <xdr:colOff>258792</xdr:colOff>
      <xdr:row>262</xdr:row>
      <xdr:rowOff>258792</xdr:rowOff>
    </xdr:from>
    <xdr:to>
      <xdr:col>19</xdr:col>
      <xdr:colOff>57508</xdr:colOff>
      <xdr:row>267</xdr:row>
      <xdr:rowOff>24960</xdr:rowOff>
    </xdr:to>
    <xdr:graphicFrame macro="">
      <xdr:nvGraphicFramePr>
        <xdr:cNvPr id="203" name="Grafiek 97">
          <a:extLst>
            <a:ext uri="{FF2B5EF4-FFF2-40B4-BE49-F238E27FC236}">
              <a16:creationId xmlns:a16="http://schemas.microsoft.com/office/drawing/2014/main" id="{84EA68E9-4A13-4512-97EC-EC04412F48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9"/>
        </a:graphicData>
      </a:graphic>
    </xdr:graphicFrame>
    <xdr:clientData/>
  </xdr:twoCellAnchor>
  <xdr:twoCellAnchor>
    <xdr:from>
      <xdr:col>19</xdr:col>
      <xdr:colOff>431321</xdr:colOff>
      <xdr:row>260</xdr:row>
      <xdr:rowOff>258792</xdr:rowOff>
    </xdr:from>
    <xdr:to>
      <xdr:col>20</xdr:col>
      <xdr:colOff>544510</xdr:colOff>
      <xdr:row>263</xdr:row>
      <xdr:rowOff>183111</xdr:rowOff>
    </xdr:to>
    <xdr:graphicFrame macro="">
      <xdr:nvGraphicFramePr>
        <xdr:cNvPr id="204" name="Grafiek 97">
          <a:extLst>
            <a:ext uri="{FF2B5EF4-FFF2-40B4-BE49-F238E27FC236}">
              <a16:creationId xmlns:a16="http://schemas.microsoft.com/office/drawing/2014/main" id="{81588691-067D-408D-BAC7-37031D37A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0"/>
        </a:graphicData>
      </a:graphic>
    </xdr:graphicFrame>
    <xdr:clientData/>
  </xdr:twoCellAnchor>
  <xdr:twoCellAnchor>
    <xdr:from>
      <xdr:col>19</xdr:col>
      <xdr:colOff>129397</xdr:colOff>
      <xdr:row>261</xdr:row>
      <xdr:rowOff>0</xdr:rowOff>
    </xdr:from>
    <xdr:to>
      <xdr:col>20</xdr:col>
      <xdr:colOff>242586</xdr:colOff>
      <xdr:row>263</xdr:row>
      <xdr:rowOff>197489</xdr:rowOff>
    </xdr:to>
    <xdr:graphicFrame macro="">
      <xdr:nvGraphicFramePr>
        <xdr:cNvPr id="205" name="Grafiek 97">
          <a:extLst>
            <a:ext uri="{FF2B5EF4-FFF2-40B4-BE49-F238E27FC236}">
              <a16:creationId xmlns:a16="http://schemas.microsoft.com/office/drawing/2014/main" id="{D43A9D0D-4C66-4119-8413-D0EC4423B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1"/>
        </a:graphicData>
      </a:graphic>
    </xdr:graphicFrame>
    <xdr:clientData/>
  </xdr:twoCellAnchor>
  <xdr:twoCellAnchor>
    <xdr:from>
      <xdr:col>19</xdr:col>
      <xdr:colOff>301925</xdr:colOff>
      <xdr:row>261</xdr:row>
      <xdr:rowOff>115019</xdr:rowOff>
    </xdr:from>
    <xdr:to>
      <xdr:col>20</xdr:col>
      <xdr:colOff>415114</xdr:colOff>
      <xdr:row>264</xdr:row>
      <xdr:rowOff>39338</xdr:rowOff>
    </xdr:to>
    <xdr:graphicFrame macro="">
      <xdr:nvGraphicFramePr>
        <xdr:cNvPr id="206" name="Grafiek 97">
          <a:extLst>
            <a:ext uri="{FF2B5EF4-FFF2-40B4-BE49-F238E27FC236}">
              <a16:creationId xmlns:a16="http://schemas.microsoft.com/office/drawing/2014/main" id="{98E99AFA-060E-4C44-8E20-D4DBD1EC8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2"/>
        </a:graphicData>
      </a:graphic>
    </xdr:graphicFrame>
    <xdr:clientData/>
  </xdr:twoCellAnchor>
  <xdr:twoCellAnchor>
    <xdr:from>
      <xdr:col>16</xdr:col>
      <xdr:colOff>0</xdr:colOff>
      <xdr:row>261</xdr:row>
      <xdr:rowOff>186905</xdr:rowOff>
    </xdr:from>
    <xdr:to>
      <xdr:col>17</xdr:col>
      <xdr:colOff>113189</xdr:colOff>
      <xdr:row>264</xdr:row>
      <xdr:rowOff>111224</xdr:rowOff>
    </xdr:to>
    <xdr:graphicFrame macro="">
      <xdr:nvGraphicFramePr>
        <xdr:cNvPr id="207" name="Grafiek 97">
          <a:extLst>
            <a:ext uri="{FF2B5EF4-FFF2-40B4-BE49-F238E27FC236}">
              <a16:creationId xmlns:a16="http://schemas.microsoft.com/office/drawing/2014/main" id="{B0513832-A1A9-424D-B4AB-A27A7433E7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3"/>
        </a:graphicData>
      </a:graphic>
    </xdr:graphicFrame>
    <xdr:clientData/>
  </xdr:twoCellAnchor>
  <xdr:twoCellAnchor>
    <xdr:from>
      <xdr:col>2</xdr:col>
      <xdr:colOff>733245</xdr:colOff>
      <xdr:row>261</xdr:row>
      <xdr:rowOff>71887</xdr:rowOff>
    </xdr:from>
    <xdr:to>
      <xdr:col>4</xdr:col>
      <xdr:colOff>98812</xdr:colOff>
      <xdr:row>263</xdr:row>
      <xdr:rowOff>269376</xdr:rowOff>
    </xdr:to>
    <xdr:graphicFrame macro="">
      <xdr:nvGraphicFramePr>
        <xdr:cNvPr id="208" name="Grafiek 97">
          <a:extLst>
            <a:ext uri="{FF2B5EF4-FFF2-40B4-BE49-F238E27FC236}">
              <a16:creationId xmlns:a16="http://schemas.microsoft.com/office/drawing/2014/main" id="{28B4A0B3-7340-470C-A045-4C3B3A871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4"/>
        </a:graphicData>
      </a:graphic>
    </xdr:graphicFrame>
    <xdr:clientData/>
  </xdr:twoCellAnchor>
  <xdr:twoCellAnchor>
    <xdr:from>
      <xdr:col>5</xdr:col>
      <xdr:colOff>100642</xdr:colOff>
      <xdr:row>264</xdr:row>
      <xdr:rowOff>158150</xdr:rowOff>
    </xdr:from>
    <xdr:to>
      <xdr:col>6</xdr:col>
      <xdr:colOff>201281</xdr:colOff>
      <xdr:row>268</xdr:row>
      <xdr:rowOff>269375</xdr:rowOff>
    </xdr:to>
    <xdr:graphicFrame macro="">
      <xdr:nvGraphicFramePr>
        <xdr:cNvPr id="209" name="Grafiek 97">
          <a:extLst>
            <a:ext uri="{FF2B5EF4-FFF2-40B4-BE49-F238E27FC236}">
              <a16:creationId xmlns:a16="http://schemas.microsoft.com/office/drawing/2014/main" id="{C57C3C65-373F-43D1-A9B8-2A9986EFE6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5"/>
        </a:graphicData>
      </a:graphic>
    </xdr:graphicFrame>
    <xdr:clientData/>
  </xdr:twoCellAnchor>
  <xdr:twoCellAnchor>
    <xdr:from>
      <xdr:col>13</xdr:col>
      <xdr:colOff>560717</xdr:colOff>
      <xdr:row>261</xdr:row>
      <xdr:rowOff>28754</xdr:rowOff>
    </xdr:from>
    <xdr:to>
      <xdr:col>15</xdr:col>
      <xdr:colOff>359433</xdr:colOff>
      <xdr:row>265</xdr:row>
      <xdr:rowOff>68092</xdr:rowOff>
    </xdr:to>
    <xdr:graphicFrame macro="">
      <xdr:nvGraphicFramePr>
        <xdr:cNvPr id="211" name="Grafiek 97">
          <a:extLst>
            <a:ext uri="{FF2B5EF4-FFF2-40B4-BE49-F238E27FC236}">
              <a16:creationId xmlns:a16="http://schemas.microsoft.com/office/drawing/2014/main" id="{7A355421-2263-4FCF-B136-CBD2D8B3C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6"/>
        </a:graphicData>
      </a:graphic>
    </xdr:graphicFrame>
    <xdr:clientData/>
  </xdr:twoCellAnchor>
  <xdr:twoCellAnchor>
    <xdr:from>
      <xdr:col>10</xdr:col>
      <xdr:colOff>373810</xdr:colOff>
      <xdr:row>261</xdr:row>
      <xdr:rowOff>115019</xdr:rowOff>
    </xdr:from>
    <xdr:to>
      <xdr:col>11</xdr:col>
      <xdr:colOff>472622</xdr:colOff>
      <xdr:row>264</xdr:row>
      <xdr:rowOff>211866</xdr:rowOff>
    </xdr:to>
    <xdr:graphicFrame macro="">
      <xdr:nvGraphicFramePr>
        <xdr:cNvPr id="212" name="Grafiek 97">
          <a:extLst>
            <a:ext uri="{FF2B5EF4-FFF2-40B4-BE49-F238E27FC236}">
              <a16:creationId xmlns:a16="http://schemas.microsoft.com/office/drawing/2014/main" id="{09D5A9FB-4123-430A-9340-A0276B057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7"/>
        </a:graphicData>
      </a:graphic>
    </xdr:graphicFrame>
    <xdr:clientData/>
  </xdr:twoCellAnchor>
  <xdr:twoCellAnchor>
    <xdr:from>
      <xdr:col>2</xdr:col>
      <xdr:colOff>718868</xdr:colOff>
      <xdr:row>261</xdr:row>
      <xdr:rowOff>71886</xdr:rowOff>
    </xdr:from>
    <xdr:to>
      <xdr:col>4</xdr:col>
      <xdr:colOff>84435</xdr:colOff>
      <xdr:row>263</xdr:row>
      <xdr:rowOff>269375</xdr:rowOff>
    </xdr:to>
    <xdr:graphicFrame macro="">
      <xdr:nvGraphicFramePr>
        <xdr:cNvPr id="213" name="Grafiek 97">
          <a:extLst>
            <a:ext uri="{FF2B5EF4-FFF2-40B4-BE49-F238E27FC236}">
              <a16:creationId xmlns:a16="http://schemas.microsoft.com/office/drawing/2014/main" id="{974F810A-CE07-46E5-8F11-90DDB9F5BC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8"/>
        </a:graphicData>
      </a:graphic>
    </xdr:graphicFrame>
    <xdr:clientData/>
  </xdr:twoCellAnchor>
  <xdr:twoCellAnchor>
    <xdr:from>
      <xdr:col>11</xdr:col>
      <xdr:colOff>905774</xdr:colOff>
      <xdr:row>265</xdr:row>
      <xdr:rowOff>172529</xdr:rowOff>
    </xdr:from>
    <xdr:to>
      <xdr:col>13</xdr:col>
      <xdr:colOff>359433</xdr:colOff>
      <xdr:row>271</xdr:row>
      <xdr:rowOff>10584</xdr:rowOff>
    </xdr:to>
    <xdr:graphicFrame macro="">
      <xdr:nvGraphicFramePr>
        <xdr:cNvPr id="214" name="Grafiek 97">
          <a:extLst>
            <a:ext uri="{FF2B5EF4-FFF2-40B4-BE49-F238E27FC236}">
              <a16:creationId xmlns:a16="http://schemas.microsoft.com/office/drawing/2014/main" id="{8A7C25A3-C1ED-41FD-9E2D-AC7C7E7FF9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9"/>
        </a:graphicData>
      </a:graphic>
    </xdr:graphicFrame>
    <xdr:clientData/>
  </xdr:twoCellAnchor>
  <xdr:twoCellAnchor>
    <xdr:from>
      <xdr:col>15</xdr:col>
      <xdr:colOff>115019</xdr:colOff>
      <xdr:row>266</xdr:row>
      <xdr:rowOff>158150</xdr:rowOff>
    </xdr:from>
    <xdr:to>
      <xdr:col>16</xdr:col>
      <xdr:colOff>530132</xdr:colOff>
      <xdr:row>270</xdr:row>
      <xdr:rowOff>183111</xdr:rowOff>
    </xdr:to>
    <xdr:graphicFrame macro="">
      <xdr:nvGraphicFramePr>
        <xdr:cNvPr id="215" name="Grafiek 97">
          <a:extLst>
            <a:ext uri="{FF2B5EF4-FFF2-40B4-BE49-F238E27FC236}">
              <a16:creationId xmlns:a16="http://schemas.microsoft.com/office/drawing/2014/main" id="{F0752367-7670-4C8D-809C-405B2148C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0"/>
        </a:graphicData>
      </a:graphic>
    </xdr:graphicFrame>
    <xdr:clientData/>
  </xdr:twoCellAnchor>
  <xdr:twoCellAnchor>
    <xdr:from>
      <xdr:col>13</xdr:col>
      <xdr:colOff>560717</xdr:colOff>
      <xdr:row>261</xdr:row>
      <xdr:rowOff>-1</xdr:rowOff>
    </xdr:from>
    <xdr:to>
      <xdr:col>15</xdr:col>
      <xdr:colOff>359433</xdr:colOff>
      <xdr:row>265</xdr:row>
      <xdr:rowOff>39337</xdr:rowOff>
    </xdr:to>
    <xdr:graphicFrame macro="">
      <xdr:nvGraphicFramePr>
        <xdr:cNvPr id="216" name="Grafiek 97">
          <a:extLst>
            <a:ext uri="{FF2B5EF4-FFF2-40B4-BE49-F238E27FC236}">
              <a16:creationId xmlns:a16="http://schemas.microsoft.com/office/drawing/2014/main" id="{D96780AE-A769-4951-959C-CB941BD78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1"/>
        </a:graphicData>
      </a:graphic>
    </xdr:graphicFrame>
    <xdr:clientData/>
  </xdr:twoCellAnchor>
  <xdr:twoCellAnchor>
    <xdr:from>
      <xdr:col>19</xdr:col>
      <xdr:colOff>258793</xdr:colOff>
      <xdr:row>260</xdr:row>
      <xdr:rowOff>215661</xdr:rowOff>
    </xdr:from>
    <xdr:to>
      <xdr:col>20</xdr:col>
      <xdr:colOff>371982</xdr:colOff>
      <xdr:row>263</xdr:row>
      <xdr:rowOff>139980</xdr:rowOff>
    </xdr:to>
    <xdr:graphicFrame macro="">
      <xdr:nvGraphicFramePr>
        <xdr:cNvPr id="217" name="Grafiek 97">
          <a:extLst>
            <a:ext uri="{FF2B5EF4-FFF2-40B4-BE49-F238E27FC236}">
              <a16:creationId xmlns:a16="http://schemas.microsoft.com/office/drawing/2014/main" id="{8279AEBD-709F-4BFC-B982-09EF4836B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2"/>
        </a:graphicData>
      </a:graphic>
    </xdr:graphicFrame>
    <xdr:clientData/>
  </xdr:twoCellAnchor>
  <xdr:twoCellAnchor>
    <xdr:from>
      <xdr:col>17</xdr:col>
      <xdr:colOff>503206</xdr:colOff>
      <xdr:row>264</xdr:row>
      <xdr:rowOff>0</xdr:rowOff>
    </xdr:from>
    <xdr:to>
      <xdr:col>19</xdr:col>
      <xdr:colOff>201283</xdr:colOff>
      <xdr:row>267</xdr:row>
      <xdr:rowOff>183111</xdr:rowOff>
    </xdr:to>
    <xdr:graphicFrame macro="">
      <xdr:nvGraphicFramePr>
        <xdr:cNvPr id="219" name="Grafiek 97">
          <a:extLst>
            <a:ext uri="{FF2B5EF4-FFF2-40B4-BE49-F238E27FC236}">
              <a16:creationId xmlns:a16="http://schemas.microsoft.com/office/drawing/2014/main" id="{64495B05-9DDB-47E0-952A-4D981FCF64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3"/>
        </a:graphicData>
      </a:graphic>
    </xdr:graphicFrame>
    <xdr:clientData/>
  </xdr:twoCellAnchor>
  <xdr:twoCellAnchor>
    <xdr:from>
      <xdr:col>0</xdr:col>
      <xdr:colOff>848264</xdr:colOff>
      <xdr:row>260</xdr:row>
      <xdr:rowOff>0</xdr:rowOff>
    </xdr:from>
    <xdr:to>
      <xdr:col>1</xdr:col>
      <xdr:colOff>12547</xdr:colOff>
      <xdr:row>264</xdr:row>
      <xdr:rowOff>24961</xdr:rowOff>
    </xdr:to>
    <xdr:graphicFrame macro="">
      <xdr:nvGraphicFramePr>
        <xdr:cNvPr id="220" name="Grafiek 97">
          <a:extLst>
            <a:ext uri="{FF2B5EF4-FFF2-40B4-BE49-F238E27FC236}">
              <a16:creationId xmlns:a16="http://schemas.microsoft.com/office/drawing/2014/main" id="{F8415623-BEAD-4EEF-97BA-CFA5AC2AB9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4"/>
        </a:graphicData>
      </a:graphic>
    </xdr:graphicFrame>
    <xdr:clientData/>
  </xdr:twoCellAnchor>
  <xdr:twoCellAnchor>
    <xdr:from>
      <xdr:col>0</xdr:col>
      <xdr:colOff>877018</xdr:colOff>
      <xdr:row>260</xdr:row>
      <xdr:rowOff>14378</xdr:rowOff>
    </xdr:from>
    <xdr:to>
      <xdr:col>1</xdr:col>
      <xdr:colOff>86264</xdr:colOff>
      <xdr:row>264</xdr:row>
      <xdr:rowOff>39339</xdr:rowOff>
    </xdr:to>
    <xdr:graphicFrame macro="">
      <xdr:nvGraphicFramePr>
        <xdr:cNvPr id="221" name="Grafiek 97">
          <a:extLst>
            <a:ext uri="{FF2B5EF4-FFF2-40B4-BE49-F238E27FC236}">
              <a16:creationId xmlns:a16="http://schemas.microsoft.com/office/drawing/2014/main" id="{8C222F4F-C7EE-4059-91F2-328CB7AF8B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5"/>
        </a:graphicData>
      </a:graphic>
    </xdr:graphicFrame>
    <xdr:clientData/>
  </xdr:twoCellAnchor>
  <xdr:twoCellAnchor>
    <xdr:from>
      <xdr:col>18</xdr:col>
      <xdr:colOff>100641</xdr:colOff>
      <xdr:row>260</xdr:row>
      <xdr:rowOff>201283</xdr:rowOff>
    </xdr:from>
    <xdr:to>
      <xdr:col>19</xdr:col>
      <xdr:colOff>213830</xdr:colOff>
      <xdr:row>263</xdr:row>
      <xdr:rowOff>125602</xdr:rowOff>
    </xdr:to>
    <xdr:graphicFrame macro="">
      <xdr:nvGraphicFramePr>
        <xdr:cNvPr id="223" name="Grafiek 97">
          <a:extLst>
            <a:ext uri="{FF2B5EF4-FFF2-40B4-BE49-F238E27FC236}">
              <a16:creationId xmlns:a16="http://schemas.microsoft.com/office/drawing/2014/main" id="{8AA2AD6C-F98E-4D7E-8970-1CC36D57CD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6"/>
        </a:graphicData>
      </a:graphic>
    </xdr:graphicFrame>
    <xdr:clientData/>
  </xdr:twoCellAnchor>
  <xdr:twoCellAnchor>
    <xdr:from>
      <xdr:col>5</xdr:col>
      <xdr:colOff>531963</xdr:colOff>
      <xdr:row>266</xdr:row>
      <xdr:rowOff>230038</xdr:rowOff>
    </xdr:from>
    <xdr:to>
      <xdr:col>6</xdr:col>
      <xdr:colOff>314472</xdr:colOff>
      <xdr:row>269</xdr:row>
      <xdr:rowOff>154357</xdr:rowOff>
    </xdr:to>
    <xdr:graphicFrame macro="">
      <xdr:nvGraphicFramePr>
        <xdr:cNvPr id="224" name="Grafiek 97">
          <a:extLst>
            <a:ext uri="{FF2B5EF4-FFF2-40B4-BE49-F238E27FC236}">
              <a16:creationId xmlns:a16="http://schemas.microsoft.com/office/drawing/2014/main" id="{FD6ADBE6-9A51-498C-8376-E172936460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7"/>
        </a:graphicData>
      </a:graphic>
    </xdr:graphicFrame>
    <xdr:clientData/>
  </xdr:twoCellAnchor>
  <xdr:twoCellAnchor>
    <xdr:from>
      <xdr:col>0</xdr:col>
      <xdr:colOff>920152</xdr:colOff>
      <xdr:row>259</xdr:row>
      <xdr:rowOff>244416</xdr:rowOff>
    </xdr:from>
    <xdr:to>
      <xdr:col>0</xdr:col>
      <xdr:colOff>1940944</xdr:colOff>
      <xdr:row>263</xdr:row>
      <xdr:rowOff>201284</xdr:rowOff>
    </xdr:to>
    <xdr:graphicFrame macro="">
      <xdr:nvGraphicFramePr>
        <xdr:cNvPr id="225" name="Grafiek 97">
          <a:extLst>
            <a:ext uri="{FF2B5EF4-FFF2-40B4-BE49-F238E27FC236}">
              <a16:creationId xmlns:a16="http://schemas.microsoft.com/office/drawing/2014/main" id="{40444964-393F-4CB2-9792-245FF57831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8"/>
        </a:graphicData>
      </a:graphic>
    </xdr:graphicFrame>
    <xdr:clientData/>
  </xdr:twoCellAnchor>
  <xdr:twoCellAnchor>
    <xdr:from>
      <xdr:col>0</xdr:col>
      <xdr:colOff>1825925</xdr:colOff>
      <xdr:row>260</xdr:row>
      <xdr:rowOff>57511</xdr:rowOff>
    </xdr:from>
    <xdr:to>
      <xdr:col>3</xdr:col>
      <xdr:colOff>0</xdr:colOff>
      <xdr:row>265</xdr:row>
      <xdr:rowOff>115020</xdr:rowOff>
    </xdr:to>
    <xdr:graphicFrame macro="">
      <xdr:nvGraphicFramePr>
        <xdr:cNvPr id="226" name="Grafiek 97">
          <a:extLst>
            <a:ext uri="{FF2B5EF4-FFF2-40B4-BE49-F238E27FC236}">
              <a16:creationId xmlns:a16="http://schemas.microsoft.com/office/drawing/2014/main" id="{54AF18DB-CB14-4942-B061-448C5D1EAF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9"/>
        </a:graphicData>
      </a:graphic>
    </xdr:graphicFrame>
    <xdr:clientData/>
  </xdr:twoCellAnchor>
  <xdr:twoCellAnchor editAs="oneCell">
    <xdr:from>
      <xdr:col>3</xdr:col>
      <xdr:colOff>560718</xdr:colOff>
      <xdr:row>295</xdr:row>
      <xdr:rowOff>143773</xdr:rowOff>
    </xdr:from>
    <xdr:to>
      <xdr:col>7</xdr:col>
      <xdr:colOff>29787</xdr:colOff>
      <xdr:row>303</xdr:row>
      <xdr:rowOff>130732</xdr:rowOff>
    </xdr:to>
    <xdr:pic>
      <xdr:nvPicPr>
        <xdr:cNvPr id="230" name="Afbeelding 229">
          <a:extLst>
            <a:ext uri="{FF2B5EF4-FFF2-40B4-BE49-F238E27FC236}">
              <a16:creationId xmlns:a16="http://schemas.microsoft.com/office/drawing/2014/main" id="{FB0D712B-0DB8-91CC-F49B-F4932982A897}"/>
            </a:ext>
          </a:extLst>
        </xdr:cNvPr>
        <xdr:cNvPicPr>
          <a:picLocks noChangeAspect="1"/>
        </xdr:cNvPicPr>
      </xdr:nvPicPr>
      <xdr:blipFill>
        <a:blip xmlns:r="http://schemas.openxmlformats.org/officeDocument/2006/relationships" r:embed="rId180"/>
        <a:stretch>
          <a:fillRect/>
        </a:stretch>
      </xdr:blipFill>
      <xdr:spPr>
        <a:xfrm>
          <a:off x="3896265" y="78140943"/>
          <a:ext cx="2215145" cy="2172317"/>
        </a:xfrm>
        <a:prstGeom prst="rect">
          <a:avLst/>
        </a:prstGeom>
      </xdr:spPr>
    </xdr:pic>
    <xdr:clientData/>
  </xdr:twoCellAnchor>
  <xdr:twoCellAnchor editAs="oneCell">
    <xdr:from>
      <xdr:col>0</xdr:col>
      <xdr:colOff>301924</xdr:colOff>
      <xdr:row>291</xdr:row>
      <xdr:rowOff>273168</xdr:rowOff>
    </xdr:from>
    <xdr:to>
      <xdr:col>2</xdr:col>
      <xdr:colOff>238865</xdr:colOff>
      <xdr:row>298</xdr:row>
      <xdr:rowOff>43725</xdr:rowOff>
    </xdr:to>
    <xdr:pic>
      <xdr:nvPicPr>
        <xdr:cNvPr id="231" name="Afbeelding 230">
          <a:extLst>
            <a:ext uri="{FF2B5EF4-FFF2-40B4-BE49-F238E27FC236}">
              <a16:creationId xmlns:a16="http://schemas.microsoft.com/office/drawing/2014/main" id="{CD8F8BE2-8571-B804-871D-140262CD3805}"/>
            </a:ext>
          </a:extLst>
        </xdr:cNvPr>
        <xdr:cNvPicPr>
          <a:picLocks noChangeAspect="1"/>
        </xdr:cNvPicPr>
      </xdr:nvPicPr>
      <xdr:blipFill>
        <a:blip xmlns:r="http://schemas.openxmlformats.org/officeDocument/2006/relationships" r:embed="rId181"/>
        <a:stretch>
          <a:fillRect/>
        </a:stretch>
      </xdr:blipFill>
      <xdr:spPr>
        <a:xfrm>
          <a:off x="301924" y="77177659"/>
          <a:ext cx="2524866" cy="1682745"/>
        </a:xfrm>
        <a:prstGeom prst="rect">
          <a:avLst/>
        </a:prstGeom>
      </xdr:spPr>
    </xdr:pic>
    <xdr:clientData/>
  </xdr:twoCellAnchor>
  <xdr:twoCellAnchor editAs="oneCell">
    <xdr:from>
      <xdr:col>0</xdr:col>
      <xdr:colOff>215660</xdr:colOff>
      <xdr:row>301</xdr:row>
      <xdr:rowOff>208033</xdr:rowOff>
    </xdr:from>
    <xdr:to>
      <xdr:col>1</xdr:col>
      <xdr:colOff>547785</xdr:colOff>
      <xdr:row>312</xdr:row>
      <xdr:rowOff>115012</xdr:rowOff>
    </xdr:to>
    <xdr:pic>
      <xdr:nvPicPr>
        <xdr:cNvPr id="232" name="Afbeelding 231">
          <a:extLst>
            <a:ext uri="{FF2B5EF4-FFF2-40B4-BE49-F238E27FC236}">
              <a16:creationId xmlns:a16="http://schemas.microsoft.com/office/drawing/2014/main" id="{46377F3E-A653-B616-FEE0-96D23C150D95}"/>
            </a:ext>
          </a:extLst>
        </xdr:cNvPr>
        <xdr:cNvPicPr>
          <a:picLocks noChangeAspect="1"/>
        </xdr:cNvPicPr>
      </xdr:nvPicPr>
      <xdr:blipFill>
        <a:blip xmlns:r="http://schemas.openxmlformats.org/officeDocument/2006/relationships" r:embed="rId182"/>
        <a:stretch>
          <a:fillRect/>
        </a:stretch>
      </xdr:blipFill>
      <xdr:spPr>
        <a:xfrm>
          <a:off x="215660" y="79844222"/>
          <a:ext cx="2316200" cy="2911847"/>
        </a:xfrm>
        <a:prstGeom prst="rect">
          <a:avLst/>
        </a:prstGeom>
      </xdr:spPr>
    </xdr:pic>
    <xdr:clientData/>
  </xdr:twoCellAnchor>
  <xdr:oneCellAnchor>
    <xdr:from>
      <xdr:col>0</xdr:col>
      <xdr:colOff>833887</xdr:colOff>
      <xdr:row>290</xdr:row>
      <xdr:rowOff>143774</xdr:rowOff>
    </xdr:from>
    <xdr:ext cx="2055963" cy="405432"/>
    <xdr:sp macro="" textlink="">
      <xdr:nvSpPr>
        <xdr:cNvPr id="233" name="Tekstvak 232">
          <a:extLst>
            <a:ext uri="{FF2B5EF4-FFF2-40B4-BE49-F238E27FC236}">
              <a16:creationId xmlns:a16="http://schemas.microsoft.com/office/drawing/2014/main" id="{C44CC5FA-1F5C-4293-AAAC-7EE7B89D863E}"/>
            </a:ext>
          </a:extLst>
        </xdr:cNvPr>
        <xdr:cNvSpPr txBox="1"/>
      </xdr:nvSpPr>
      <xdr:spPr>
        <a:xfrm>
          <a:off x="833887" y="76775095"/>
          <a:ext cx="2055963"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Beregening</a:t>
          </a:r>
        </a:p>
      </xdr:txBody>
    </xdr:sp>
    <xdr:clientData/>
  </xdr:oneCellAnchor>
  <xdr:oneCellAnchor>
    <xdr:from>
      <xdr:col>3</xdr:col>
      <xdr:colOff>503210</xdr:colOff>
      <xdr:row>294</xdr:row>
      <xdr:rowOff>43131</xdr:rowOff>
    </xdr:from>
    <xdr:ext cx="2055963" cy="405432"/>
    <xdr:sp macro="" textlink="">
      <xdr:nvSpPr>
        <xdr:cNvPr id="234" name="Tekstvak 233">
          <a:extLst>
            <a:ext uri="{FF2B5EF4-FFF2-40B4-BE49-F238E27FC236}">
              <a16:creationId xmlns:a16="http://schemas.microsoft.com/office/drawing/2014/main" id="{2F12D803-08E6-47B5-BCE4-B3D2212F3376}"/>
            </a:ext>
          </a:extLst>
        </xdr:cNvPr>
        <xdr:cNvSpPr txBox="1"/>
      </xdr:nvSpPr>
      <xdr:spPr>
        <a:xfrm>
          <a:off x="3838757" y="77767131"/>
          <a:ext cx="2055963"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BE" sz="2000" b="1">
              <a:solidFill>
                <a:schemeClr val="accent6"/>
              </a:solidFill>
            </a:rPr>
            <a:t>Peilsturing</a:t>
          </a:r>
        </a:p>
      </xdr:txBody>
    </xdr:sp>
    <xdr:clientData/>
  </xdr:oneCellAnchor>
  <xdr:oneCellAnchor>
    <xdr:from>
      <xdr:col>0</xdr:col>
      <xdr:colOff>445699</xdr:colOff>
      <xdr:row>299</xdr:row>
      <xdr:rowOff>115016</xdr:rowOff>
    </xdr:from>
    <xdr:ext cx="2055963" cy="718530"/>
    <xdr:sp macro="" textlink="">
      <xdr:nvSpPr>
        <xdr:cNvPr id="235" name="Tekstvak 234">
          <a:extLst>
            <a:ext uri="{FF2B5EF4-FFF2-40B4-BE49-F238E27FC236}">
              <a16:creationId xmlns:a16="http://schemas.microsoft.com/office/drawing/2014/main" id="{38460CF3-BECF-44BF-84B8-D01D9A4B9545}"/>
            </a:ext>
          </a:extLst>
        </xdr:cNvPr>
        <xdr:cNvSpPr txBox="1"/>
      </xdr:nvSpPr>
      <xdr:spPr>
        <a:xfrm>
          <a:off x="445699" y="79204865"/>
          <a:ext cx="2055963" cy="7185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nl-BE" sz="2000" b="1">
              <a:solidFill>
                <a:schemeClr val="accent6"/>
              </a:solidFill>
            </a:rPr>
            <a:t>Dynamische zaaizaadkeuze</a:t>
          </a:r>
        </a:p>
      </xdr:txBody>
    </xdr:sp>
    <xdr:clientData/>
  </xdr:oneCellAnchor>
  <xdr:twoCellAnchor editAs="oneCell">
    <xdr:from>
      <xdr:col>2</xdr:col>
      <xdr:colOff>258792</xdr:colOff>
      <xdr:row>300</xdr:row>
      <xdr:rowOff>86261</xdr:rowOff>
    </xdr:from>
    <xdr:to>
      <xdr:col>5</xdr:col>
      <xdr:colOff>589474</xdr:colOff>
      <xdr:row>308</xdr:row>
      <xdr:rowOff>186905</xdr:rowOff>
    </xdr:to>
    <xdr:pic>
      <xdr:nvPicPr>
        <xdr:cNvPr id="236" name="Afbeelding 235">
          <a:extLst>
            <a:ext uri="{FF2B5EF4-FFF2-40B4-BE49-F238E27FC236}">
              <a16:creationId xmlns:a16="http://schemas.microsoft.com/office/drawing/2014/main" id="{228D5335-38A0-F5E4-E092-DF8A69E79538}"/>
            </a:ext>
          </a:extLst>
        </xdr:cNvPr>
        <xdr:cNvPicPr>
          <a:picLocks noChangeAspect="1"/>
        </xdr:cNvPicPr>
      </xdr:nvPicPr>
      <xdr:blipFill>
        <a:blip xmlns:r="http://schemas.openxmlformats.org/officeDocument/2006/relationships" r:embed="rId183"/>
        <a:stretch>
          <a:fillRect/>
        </a:stretch>
      </xdr:blipFill>
      <xdr:spPr>
        <a:xfrm>
          <a:off x="2846717" y="79449280"/>
          <a:ext cx="2286002" cy="2286002"/>
        </a:xfrm>
        <a:prstGeom prst="rect">
          <a:avLst/>
        </a:prstGeom>
      </xdr:spPr>
    </xdr:pic>
    <xdr:clientData/>
  </xdr:twoCellAnchor>
  <xdr:twoCellAnchor>
    <xdr:from>
      <xdr:col>1</xdr:col>
      <xdr:colOff>100643</xdr:colOff>
      <xdr:row>289</xdr:row>
      <xdr:rowOff>345057</xdr:rowOff>
    </xdr:from>
    <xdr:to>
      <xdr:col>2</xdr:col>
      <xdr:colOff>515755</xdr:colOff>
      <xdr:row>293</xdr:row>
      <xdr:rowOff>226244</xdr:rowOff>
    </xdr:to>
    <xdr:graphicFrame macro="">
      <xdr:nvGraphicFramePr>
        <xdr:cNvPr id="238" name="Grafiek 97">
          <a:extLst>
            <a:ext uri="{FF2B5EF4-FFF2-40B4-BE49-F238E27FC236}">
              <a16:creationId xmlns:a16="http://schemas.microsoft.com/office/drawing/2014/main" id="{E5997FD0-D897-487C-B626-5D36B3566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4"/>
        </a:graphicData>
      </a:graphic>
    </xdr:graphicFrame>
    <xdr:clientData/>
  </xdr:twoCellAnchor>
  <xdr:twoCellAnchor>
    <xdr:from>
      <xdr:col>1</xdr:col>
      <xdr:colOff>100642</xdr:colOff>
      <xdr:row>289</xdr:row>
      <xdr:rowOff>345058</xdr:rowOff>
    </xdr:from>
    <xdr:to>
      <xdr:col>2</xdr:col>
      <xdr:colOff>515754</xdr:colOff>
      <xdr:row>293</xdr:row>
      <xdr:rowOff>226245</xdr:rowOff>
    </xdr:to>
    <xdr:graphicFrame macro="">
      <xdr:nvGraphicFramePr>
        <xdr:cNvPr id="239" name="Grafiek 97">
          <a:extLst>
            <a:ext uri="{FF2B5EF4-FFF2-40B4-BE49-F238E27FC236}">
              <a16:creationId xmlns:a16="http://schemas.microsoft.com/office/drawing/2014/main" id="{6F025088-E337-4EC6-91C7-4E8113FB9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5"/>
        </a:graphicData>
      </a:graphic>
    </xdr:graphicFrame>
    <xdr:clientData/>
  </xdr:twoCellAnchor>
  <xdr:twoCellAnchor>
    <xdr:from>
      <xdr:col>0</xdr:col>
      <xdr:colOff>1955321</xdr:colOff>
      <xdr:row>300</xdr:row>
      <xdr:rowOff>201283</xdr:rowOff>
    </xdr:from>
    <xdr:to>
      <xdr:col>2</xdr:col>
      <xdr:colOff>386358</xdr:colOff>
      <xdr:row>304</xdr:row>
      <xdr:rowOff>226244</xdr:rowOff>
    </xdr:to>
    <xdr:graphicFrame macro="">
      <xdr:nvGraphicFramePr>
        <xdr:cNvPr id="240" name="Grafiek 97">
          <a:extLst>
            <a:ext uri="{FF2B5EF4-FFF2-40B4-BE49-F238E27FC236}">
              <a16:creationId xmlns:a16="http://schemas.microsoft.com/office/drawing/2014/main" id="{9343C72F-288C-4352-BF05-525B306C8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6"/>
        </a:graphicData>
      </a:graphic>
    </xdr:graphicFrame>
    <xdr:clientData/>
  </xdr:twoCellAnchor>
  <xdr:twoCellAnchor>
    <xdr:from>
      <xdr:col>1</xdr:col>
      <xdr:colOff>14378</xdr:colOff>
      <xdr:row>300</xdr:row>
      <xdr:rowOff>172529</xdr:rowOff>
    </xdr:from>
    <xdr:to>
      <xdr:col>2</xdr:col>
      <xdr:colOff>429490</xdr:colOff>
      <xdr:row>304</xdr:row>
      <xdr:rowOff>197490</xdr:rowOff>
    </xdr:to>
    <xdr:graphicFrame macro="">
      <xdr:nvGraphicFramePr>
        <xdr:cNvPr id="241" name="Grafiek 97">
          <a:extLst>
            <a:ext uri="{FF2B5EF4-FFF2-40B4-BE49-F238E27FC236}">
              <a16:creationId xmlns:a16="http://schemas.microsoft.com/office/drawing/2014/main" id="{F3CB6273-F7AF-41C9-BDDB-A38C65B31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7"/>
        </a:graphicData>
      </a:graphic>
    </xdr:graphicFrame>
    <xdr:clientData/>
  </xdr:twoCellAnchor>
  <xdr:twoCellAnchor>
    <xdr:from>
      <xdr:col>5</xdr:col>
      <xdr:colOff>560717</xdr:colOff>
      <xdr:row>293</xdr:row>
      <xdr:rowOff>186906</xdr:rowOff>
    </xdr:from>
    <xdr:to>
      <xdr:col>7</xdr:col>
      <xdr:colOff>41301</xdr:colOff>
      <xdr:row>297</xdr:row>
      <xdr:rowOff>211867</xdr:rowOff>
    </xdr:to>
    <xdr:graphicFrame macro="">
      <xdr:nvGraphicFramePr>
        <xdr:cNvPr id="242" name="Grafiek 97">
          <a:extLst>
            <a:ext uri="{FF2B5EF4-FFF2-40B4-BE49-F238E27FC236}">
              <a16:creationId xmlns:a16="http://schemas.microsoft.com/office/drawing/2014/main" id="{D5EB1809-52CA-4BAE-8330-84E162E69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8"/>
        </a:graphicData>
      </a:graphic>
    </xdr:graphicFrame>
    <xdr:clientData/>
  </xdr:twoCellAnchor>
  <xdr:twoCellAnchor>
    <xdr:from>
      <xdr:col>5</xdr:col>
      <xdr:colOff>575094</xdr:colOff>
      <xdr:row>293</xdr:row>
      <xdr:rowOff>186906</xdr:rowOff>
    </xdr:from>
    <xdr:to>
      <xdr:col>7</xdr:col>
      <xdr:colOff>55678</xdr:colOff>
      <xdr:row>297</xdr:row>
      <xdr:rowOff>211867</xdr:rowOff>
    </xdr:to>
    <xdr:graphicFrame macro="">
      <xdr:nvGraphicFramePr>
        <xdr:cNvPr id="243" name="Grafiek 97">
          <a:extLst>
            <a:ext uri="{FF2B5EF4-FFF2-40B4-BE49-F238E27FC236}">
              <a16:creationId xmlns:a16="http://schemas.microsoft.com/office/drawing/2014/main" id="{63677EF5-CFB9-485C-A118-CD8D1666B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9"/>
        </a:graphicData>
      </a:graphic>
    </xdr:graphicFrame>
    <xdr:clientData/>
  </xdr:twoCellAnchor>
  <xdr:twoCellAnchor>
    <xdr:from>
      <xdr:col>5</xdr:col>
      <xdr:colOff>388189</xdr:colOff>
      <xdr:row>292</xdr:row>
      <xdr:rowOff>201283</xdr:rowOff>
    </xdr:from>
    <xdr:to>
      <xdr:col>7</xdr:col>
      <xdr:colOff>57509</xdr:colOff>
      <xdr:row>296</xdr:row>
      <xdr:rowOff>226243</xdr:rowOff>
    </xdr:to>
    <xdr:graphicFrame macro="">
      <xdr:nvGraphicFramePr>
        <xdr:cNvPr id="244" name="Grafiek 97">
          <a:extLst>
            <a:ext uri="{FF2B5EF4-FFF2-40B4-BE49-F238E27FC236}">
              <a16:creationId xmlns:a16="http://schemas.microsoft.com/office/drawing/2014/main" id="{CA646F30-7A03-4663-BBA0-604F10147E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0"/>
        </a:graphicData>
      </a:graphic>
    </xdr:graphicFrame>
    <xdr:clientData/>
  </xdr:twoCellAnchor>
  <xdr:twoCellAnchor>
    <xdr:from>
      <xdr:col>21</xdr:col>
      <xdr:colOff>571500</xdr:colOff>
      <xdr:row>67</xdr:row>
      <xdr:rowOff>242207</xdr:rowOff>
    </xdr:from>
    <xdr:to>
      <xdr:col>23</xdr:col>
      <xdr:colOff>604089</xdr:colOff>
      <xdr:row>69</xdr:row>
      <xdr:rowOff>122922</xdr:rowOff>
    </xdr:to>
    <xdr:sp macro="" textlink="">
      <xdr:nvSpPr>
        <xdr:cNvPr id="146" name="Rechthoek 145">
          <a:hlinkClick xmlns:r="http://schemas.openxmlformats.org/officeDocument/2006/relationships" r:id="rId191"/>
          <a:extLst>
            <a:ext uri="{FF2B5EF4-FFF2-40B4-BE49-F238E27FC236}">
              <a16:creationId xmlns:a16="http://schemas.microsoft.com/office/drawing/2014/main" id="{D5EF5E4C-9B98-4C21-8D7C-CF3F8C15B987}"/>
            </a:ext>
          </a:extLst>
        </xdr:cNvPr>
        <xdr:cNvSpPr/>
      </xdr:nvSpPr>
      <xdr:spPr>
        <a:xfrm>
          <a:off x="15716250" y="13901057"/>
          <a:ext cx="1861389" cy="414115"/>
        </a:xfrm>
        <a:prstGeom prst="rect">
          <a:avLst/>
        </a:prstGeom>
        <a:solidFill>
          <a:schemeClr val="accent6">
            <a:lumMod val="20000"/>
            <a:lumOff val="80000"/>
          </a:schemeClr>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l-BE" sz="1600">
              <a:solidFill>
                <a:sysClr val="windowText" lastClr="000000"/>
              </a:solidFill>
            </a:rPr>
            <a:t>Handleiding</a:t>
          </a:r>
        </a:p>
      </xdr:txBody>
    </xdr:sp>
    <xdr:clientData/>
  </xdr:twoCellAnchor>
  <xdr:twoCellAnchor editAs="oneCell">
    <xdr:from>
      <xdr:col>0</xdr:col>
      <xdr:colOff>0</xdr:colOff>
      <xdr:row>314</xdr:row>
      <xdr:rowOff>76200</xdr:rowOff>
    </xdr:from>
    <xdr:to>
      <xdr:col>26</xdr:col>
      <xdr:colOff>38100</xdr:colOff>
      <xdr:row>326</xdr:row>
      <xdr:rowOff>105725</xdr:rowOff>
    </xdr:to>
    <xdr:pic>
      <xdr:nvPicPr>
        <xdr:cNvPr id="100" name="Afbeelding 99">
          <a:extLst>
            <a:ext uri="{FF2B5EF4-FFF2-40B4-BE49-F238E27FC236}">
              <a16:creationId xmlns:a16="http://schemas.microsoft.com/office/drawing/2014/main" id="{FE845DE0-A186-4B46-89DA-66DB76DCD152}"/>
            </a:ext>
          </a:extLst>
        </xdr:cNvPr>
        <xdr:cNvPicPr>
          <a:picLocks noChangeAspect="1"/>
        </xdr:cNvPicPr>
      </xdr:nvPicPr>
      <xdr:blipFill>
        <a:blip xmlns:r="http://schemas.openxmlformats.org/officeDocument/2006/relationships" r:embed="rId192"/>
        <a:stretch>
          <a:fillRect/>
        </a:stretch>
      </xdr:blipFill>
      <xdr:spPr>
        <a:xfrm>
          <a:off x="0" y="79152750"/>
          <a:ext cx="19754850" cy="2391725"/>
        </a:xfrm>
        <a:prstGeom prst="rect">
          <a:avLst/>
        </a:prstGeom>
      </xdr:spPr>
    </xdr:pic>
    <xdr:clientData/>
  </xdr:twoCellAnchor>
</xdr:wsDr>
</file>

<file path=xl/drawings/drawing12.xml><?xml version="1.0" encoding="utf-8"?>
<c:userShapes xmlns:c="http://schemas.openxmlformats.org/drawingml/2006/chart">
  <cdr:relSizeAnchor xmlns:cdr="http://schemas.openxmlformats.org/drawingml/2006/chartDrawing">
    <cdr:from>
      <cdr:x>0.44234</cdr:x>
      <cdr:y>0.46261</cdr:y>
    </cdr:from>
    <cdr:to>
      <cdr:x>0.65394</cdr:x>
      <cdr:y>1</cdr:y>
    </cdr:to>
    <cdr:sp macro="" textlink="">
      <cdr:nvSpPr>
        <cdr:cNvPr id="2" name="Tekstvak 1">
          <a:extLst xmlns:a="http://schemas.openxmlformats.org/drawingml/2006/main">
            <a:ext uri="{FF2B5EF4-FFF2-40B4-BE49-F238E27FC236}">
              <a16:creationId xmlns:a16="http://schemas.microsoft.com/office/drawing/2014/main" id="{18A08081-05D4-8D93-5DC5-73E3225BDF9D}"/>
            </a:ext>
          </a:extLst>
        </cdr:cNvPr>
        <cdr:cNvSpPr txBox="1"/>
      </cdr:nvSpPr>
      <cdr:spPr>
        <a:xfrm xmlns:a="http://schemas.openxmlformats.org/drawingml/2006/main">
          <a:off x="2583748" y="434228"/>
          <a:ext cx="1235987" cy="50441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BE" sz="2000" b="1" kern="1200">
              <a:solidFill>
                <a:schemeClr val="accent6"/>
              </a:solidFill>
            </a:rPr>
            <a:t>GVE/ha weide</a:t>
          </a:r>
        </a:p>
      </cdr:txBody>
    </cdr:sp>
  </cdr:relSizeAnchor>
</c:userShape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27BC1-B02B-444C-95F1-1145D58BA80E}">
  <dimension ref="A7:O29"/>
  <sheetViews>
    <sheetView topLeftCell="A7" workbookViewId="0">
      <selection activeCell="A19" sqref="A19"/>
    </sheetView>
  </sheetViews>
  <sheetFormatPr defaultRowHeight="14.4" x14ac:dyDescent="0.3"/>
  <sheetData>
    <row r="7" spans="1:15" ht="14.4" customHeight="1" x14ac:dyDescent="0.3">
      <c r="A7" s="104" t="s">
        <v>450</v>
      </c>
      <c r="B7" s="104"/>
      <c r="C7" s="104"/>
      <c r="D7" s="104"/>
      <c r="E7" s="104"/>
      <c r="F7" s="104"/>
      <c r="G7" s="104"/>
      <c r="H7" s="104"/>
      <c r="I7" s="104"/>
      <c r="J7" s="104"/>
      <c r="K7" s="104"/>
      <c r="L7" s="104"/>
      <c r="M7" s="104"/>
      <c r="N7" s="104"/>
      <c r="O7" s="104"/>
    </row>
    <row r="8" spans="1:15" x14ac:dyDescent="0.3">
      <c r="A8" s="104"/>
      <c r="B8" s="104"/>
      <c r="C8" s="104"/>
      <c r="D8" s="104"/>
      <c r="E8" s="104"/>
      <c r="F8" s="104"/>
      <c r="G8" s="104"/>
      <c r="H8" s="104"/>
      <c r="I8" s="104"/>
      <c r="J8" s="104"/>
      <c r="K8" s="104"/>
      <c r="L8" s="104"/>
      <c r="M8" s="104"/>
      <c r="N8" s="104"/>
      <c r="O8" s="104"/>
    </row>
    <row r="9" spans="1:15" ht="14.4" customHeight="1" x14ac:dyDescent="0.3">
      <c r="A9" s="104" t="s">
        <v>451</v>
      </c>
      <c r="B9" s="104"/>
      <c r="C9" s="104"/>
      <c r="D9" s="104"/>
      <c r="E9" s="104"/>
      <c r="F9" s="104"/>
      <c r="G9" s="104"/>
      <c r="H9" s="104"/>
      <c r="I9" s="104"/>
      <c r="J9" s="104"/>
      <c r="K9" s="104"/>
      <c r="L9" s="104"/>
      <c r="M9" s="104"/>
      <c r="N9" s="104"/>
      <c r="O9" s="104"/>
    </row>
    <row r="10" spans="1:15" x14ac:dyDescent="0.3">
      <c r="A10" s="104"/>
      <c r="B10" s="104"/>
      <c r="C10" s="104"/>
      <c r="D10" s="104"/>
      <c r="E10" s="104"/>
      <c r="F10" s="104"/>
      <c r="G10" s="104"/>
      <c r="H10" s="104"/>
      <c r="I10" s="104"/>
      <c r="J10" s="104"/>
      <c r="K10" s="104"/>
      <c r="L10" s="104"/>
      <c r="M10" s="104"/>
      <c r="N10" s="104"/>
      <c r="O10" s="104"/>
    </row>
    <row r="11" spans="1:15" x14ac:dyDescent="0.3">
      <c r="A11" s="104"/>
      <c r="B11" s="104"/>
      <c r="C11" s="104"/>
      <c r="D11" s="104"/>
      <c r="E11" s="104"/>
      <c r="F11" s="104"/>
      <c r="G11" s="104"/>
      <c r="H11" s="104"/>
      <c r="I11" s="104"/>
      <c r="J11" s="104"/>
      <c r="K11" s="104"/>
      <c r="L11" s="104"/>
      <c r="M11" s="104"/>
      <c r="N11" s="104"/>
      <c r="O11" s="104"/>
    </row>
    <row r="12" spans="1:15" ht="14.4" customHeight="1" x14ac:dyDescent="0.3">
      <c r="A12" s="104"/>
      <c r="B12" s="104"/>
      <c r="C12" s="104"/>
      <c r="D12" s="104"/>
      <c r="E12" s="104"/>
      <c r="F12" s="104"/>
      <c r="G12" s="104"/>
      <c r="H12" s="104"/>
      <c r="I12" s="104"/>
      <c r="J12" s="104"/>
      <c r="K12" s="104"/>
      <c r="L12" s="104"/>
      <c r="M12" s="104"/>
      <c r="N12" s="104"/>
      <c r="O12" s="104"/>
    </row>
    <row r="13" spans="1:15" ht="14.4" customHeight="1" x14ac:dyDescent="0.3">
      <c r="A13" s="36"/>
      <c r="B13" s="36"/>
      <c r="C13" s="36"/>
      <c r="D13" s="36"/>
      <c r="E13" s="36"/>
      <c r="F13" s="36"/>
      <c r="G13" s="36"/>
      <c r="H13" s="36"/>
      <c r="I13" s="36"/>
      <c r="J13" s="36"/>
      <c r="K13" s="36"/>
      <c r="L13" s="36"/>
      <c r="M13" s="36"/>
      <c r="N13" s="36"/>
      <c r="O13" s="36"/>
    </row>
    <row r="14" spans="1:15" ht="14.4" customHeight="1" x14ac:dyDescent="0.3">
      <c r="A14" s="106" t="s">
        <v>452</v>
      </c>
      <c r="B14" s="106"/>
      <c r="C14" s="106"/>
      <c r="D14" s="106"/>
      <c r="E14" s="106"/>
      <c r="F14" s="106"/>
      <c r="G14" s="106"/>
      <c r="H14" s="106"/>
      <c r="I14" s="106"/>
      <c r="J14" s="106"/>
      <c r="K14" s="106"/>
      <c r="L14" s="106"/>
      <c r="M14" s="106"/>
      <c r="N14" s="106"/>
      <c r="O14" s="106"/>
    </row>
    <row r="15" spans="1:15" ht="14.4" customHeight="1" x14ac:dyDescent="0.3">
      <c r="A15" s="107"/>
      <c r="B15" s="107"/>
      <c r="C15" s="107"/>
      <c r="D15" s="107"/>
      <c r="E15" s="107"/>
      <c r="F15" s="107"/>
      <c r="G15" s="107"/>
      <c r="H15" s="107"/>
      <c r="I15" s="107"/>
      <c r="J15" s="107"/>
      <c r="K15" s="107"/>
      <c r="L15" s="107"/>
      <c r="M15" s="107"/>
      <c r="N15" s="107"/>
      <c r="O15" s="107"/>
    </row>
    <row r="16" spans="1:15" ht="14.4" customHeight="1" x14ac:dyDescent="0.3">
      <c r="A16" s="107"/>
      <c r="B16" s="107"/>
      <c r="C16" s="107"/>
      <c r="D16" s="107"/>
      <c r="E16" s="107"/>
      <c r="F16" s="107"/>
      <c r="G16" s="107"/>
      <c r="H16" s="107"/>
      <c r="I16" s="107"/>
      <c r="J16" s="107"/>
      <c r="K16" s="107"/>
      <c r="L16" s="107"/>
      <c r="M16" s="107"/>
      <c r="N16" s="107"/>
      <c r="O16" s="107"/>
    </row>
    <row r="17" spans="1:15" ht="14.4" customHeight="1" x14ac:dyDescent="0.3">
      <c r="A17" s="101"/>
      <c r="B17" s="101"/>
      <c r="C17" s="101"/>
      <c r="D17" s="101"/>
      <c r="E17" s="101"/>
      <c r="F17" s="101"/>
      <c r="G17" s="101"/>
      <c r="H17" s="101"/>
      <c r="I17" s="101"/>
      <c r="J17" s="101"/>
      <c r="K17" s="101"/>
      <c r="L17" s="101"/>
      <c r="M17" s="101"/>
      <c r="N17" s="101"/>
      <c r="O17" s="101"/>
    </row>
    <row r="18" spans="1:15" ht="14.4" customHeight="1" x14ac:dyDescent="0.3">
      <c r="A18" s="106" t="s">
        <v>453</v>
      </c>
      <c r="B18" s="106"/>
      <c r="C18" s="106"/>
      <c r="D18" s="106"/>
      <c r="E18" s="106"/>
      <c r="F18" s="106"/>
      <c r="G18" s="106"/>
      <c r="H18" s="106"/>
      <c r="I18" s="106"/>
      <c r="J18" s="106"/>
      <c r="K18" s="106"/>
      <c r="L18" s="106"/>
      <c r="M18" s="106"/>
      <c r="N18" s="106"/>
      <c r="O18" s="106"/>
    </row>
    <row r="19" spans="1:15" x14ac:dyDescent="0.3">
      <c r="A19" s="26"/>
      <c r="B19" s="105" t="s">
        <v>449</v>
      </c>
      <c r="C19" s="105"/>
      <c r="D19" s="105"/>
      <c r="E19" s="105"/>
      <c r="F19" s="105"/>
      <c r="G19" s="105"/>
      <c r="H19" s="105"/>
      <c r="I19" s="105"/>
      <c r="J19" s="105"/>
      <c r="K19" s="105"/>
      <c r="L19" s="105"/>
      <c r="M19" s="105"/>
      <c r="N19" s="105"/>
      <c r="O19" s="105"/>
    </row>
    <row r="20" spans="1:15" x14ac:dyDescent="0.3">
      <c r="A20" s="102"/>
      <c r="B20" s="102"/>
      <c r="C20" s="102"/>
      <c r="D20" s="102"/>
      <c r="E20" s="102"/>
      <c r="F20" s="102"/>
      <c r="G20" s="102"/>
      <c r="H20" s="102"/>
      <c r="I20" s="102"/>
      <c r="J20" s="102"/>
      <c r="K20" s="102"/>
      <c r="L20" s="102"/>
      <c r="M20" s="102"/>
      <c r="N20" s="102"/>
      <c r="O20" s="102"/>
    </row>
    <row r="21" spans="1:15" x14ac:dyDescent="0.3">
      <c r="A21" s="103" t="s">
        <v>455</v>
      </c>
      <c r="B21" s="103"/>
      <c r="C21" s="103"/>
      <c r="D21" s="103"/>
      <c r="E21" s="103"/>
      <c r="F21" s="103"/>
      <c r="G21" s="103"/>
      <c r="H21" s="103"/>
      <c r="I21" s="103"/>
      <c r="J21" s="103"/>
      <c r="K21" s="103"/>
      <c r="L21" s="103"/>
      <c r="M21" s="103"/>
      <c r="N21" s="103"/>
      <c r="O21" s="103"/>
    </row>
    <row r="22" spans="1:15" x14ac:dyDescent="0.3">
      <c r="A22" s="102"/>
      <c r="B22" s="102"/>
      <c r="C22" s="102"/>
      <c r="D22" s="102"/>
      <c r="E22" s="102"/>
      <c r="F22" s="102"/>
      <c r="G22" s="102"/>
      <c r="H22" s="102"/>
      <c r="I22" s="102"/>
      <c r="J22" s="102"/>
      <c r="K22" s="102"/>
      <c r="L22" s="102"/>
      <c r="M22" s="102"/>
      <c r="N22" s="102"/>
      <c r="O22" s="102"/>
    </row>
    <row r="23" spans="1:15" x14ac:dyDescent="0.3">
      <c r="A23" s="102"/>
      <c r="B23" s="102"/>
      <c r="C23" s="102"/>
      <c r="D23" s="102"/>
      <c r="E23" s="102"/>
      <c r="F23" s="102"/>
      <c r="G23" s="102"/>
      <c r="H23" s="102"/>
      <c r="I23" s="102"/>
      <c r="J23" s="102"/>
      <c r="K23" s="102"/>
      <c r="L23" s="102"/>
      <c r="M23" s="102"/>
      <c r="N23" s="102"/>
      <c r="O23" s="102"/>
    </row>
    <row r="24" spans="1:15" x14ac:dyDescent="0.3">
      <c r="A24" s="102"/>
      <c r="B24" s="102"/>
      <c r="C24" s="102"/>
      <c r="D24" s="102"/>
      <c r="E24" s="102"/>
      <c r="F24" s="102"/>
      <c r="G24" s="102"/>
      <c r="H24" s="102"/>
      <c r="I24" s="102"/>
      <c r="J24" s="102"/>
      <c r="K24" s="102"/>
      <c r="L24" s="102"/>
      <c r="M24" s="102"/>
      <c r="N24" s="102"/>
      <c r="O24" s="102"/>
    </row>
    <row r="25" spans="1:15" x14ac:dyDescent="0.3">
      <c r="A25" s="102"/>
      <c r="B25" s="102"/>
      <c r="C25" s="102"/>
      <c r="D25" s="102"/>
      <c r="E25" s="102"/>
      <c r="F25" s="102"/>
      <c r="G25" s="102"/>
      <c r="H25" s="102"/>
      <c r="I25" s="102"/>
      <c r="J25" s="102"/>
      <c r="K25" s="102"/>
      <c r="L25" s="102"/>
      <c r="M25" s="102"/>
      <c r="N25" s="102"/>
      <c r="O25" s="102"/>
    </row>
    <row r="27" spans="1:15" x14ac:dyDescent="0.3">
      <c r="A27" s="103" t="s">
        <v>454</v>
      </c>
      <c r="B27" s="103"/>
      <c r="C27" s="103"/>
      <c r="D27" s="103"/>
      <c r="E27" s="103"/>
      <c r="F27" s="103"/>
      <c r="G27" s="103"/>
      <c r="H27" s="103"/>
      <c r="I27" s="103"/>
      <c r="J27" s="103"/>
      <c r="K27" s="103"/>
      <c r="L27" s="103"/>
      <c r="M27" s="103"/>
      <c r="N27" s="103"/>
      <c r="O27" s="103"/>
    </row>
    <row r="28" spans="1:15" x14ac:dyDescent="0.3">
      <c r="A28" s="102"/>
      <c r="B28" s="102"/>
      <c r="C28" s="102"/>
      <c r="D28" s="102"/>
      <c r="E28" s="102"/>
      <c r="F28" s="102"/>
      <c r="G28" s="102"/>
      <c r="H28" s="102"/>
      <c r="I28" s="102"/>
      <c r="J28" s="102"/>
      <c r="K28" s="102"/>
      <c r="L28" s="102"/>
      <c r="M28" s="102"/>
      <c r="N28" s="102"/>
      <c r="O28" s="102"/>
    </row>
    <row r="29" spans="1:15" x14ac:dyDescent="0.3">
      <c r="A29" s="102"/>
      <c r="B29" s="102"/>
      <c r="C29" s="102"/>
      <c r="D29" s="102"/>
      <c r="E29" s="102"/>
      <c r="F29" s="102"/>
      <c r="G29" s="102"/>
      <c r="H29" s="102"/>
      <c r="I29" s="102"/>
      <c r="J29" s="102"/>
      <c r="K29" s="102"/>
      <c r="L29" s="102"/>
      <c r="M29" s="102"/>
      <c r="N29" s="102"/>
      <c r="O29" s="102"/>
    </row>
  </sheetData>
  <sheetProtection algorithmName="SHA-512" hashValue="QFQYHQR/Uu6jB/AV5ZWAs3OIYHJzhjRc7Jw4gvCyWQ1sGju6gI7UCI7zeCCPmX9enGValyPqEbxHuCwQH4lo+w==" saltValue="sqMm5aRhoyXYGK3HUNjZ1Q==" spinCount="100000" sheet="1" objects="1" scenarios="1" selectLockedCells="1"/>
  <mergeCells count="11">
    <mergeCell ref="A28:O29"/>
    <mergeCell ref="A27:O27"/>
    <mergeCell ref="A21:O21"/>
    <mergeCell ref="A7:O8"/>
    <mergeCell ref="B19:O19"/>
    <mergeCell ref="A9:O12"/>
    <mergeCell ref="A14:O14"/>
    <mergeCell ref="A18:O18"/>
    <mergeCell ref="A20:O20"/>
    <mergeCell ref="A15:O16"/>
    <mergeCell ref="A22:O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8D526-D3C3-4B00-9CA1-5BE6F9326D88}">
  <sheetPr codeName="Blad3"/>
  <dimension ref="A1:D20"/>
  <sheetViews>
    <sheetView workbookViewId="0">
      <selection activeCell="B2" sqref="B2"/>
    </sheetView>
  </sheetViews>
  <sheetFormatPr defaultRowHeight="14.4" x14ac:dyDescent="0.3"/>
  <cols>
    <col min="1" max="1" width="60.6640625" customWidth="1"/>
  </cols>
  <sheetData>
    <row r="1" spans="1:4" ht="15" thickBot="1" x14ac:dyDescent="0.35">
      <c r="A1" s="38" t="s">
        <v>1</v>
      </c>
      <c r="B1" s="39" t="s">
        <v>2</v>
      </c>
      <c r="C1" s="40"/>
    </row>
    <row r="2" spans="1:4" x14ac:dyDescent="0.3">
      <c r="A2" s="41" t="s">
        <v>3</v>
      </c>
      <c r="B2" s="25"/>
      <c r="C2" s="42"/>
    </row>
    <row r="3" spans="1:4" x14ac:dyDescent="0.3">
      <c r="A3" s="43" t="s">
        <v>460</v>
      </c>
      <c r="B3" s="26"/>
      <c r="C3" s="44"/>
      <c r="D3" s="45" t="s">
        <v>6</v>
      </c>
    </row>
    <row r="4" spans="1:4" x14ac:dyDescent="0.3">
      <c r="A4" s="46" t="str">
        <f>IF(B3="Melkvee","Aantal melkkoeien",IF(B3="Vleesvee","Aantal zoogkoeien",""))</f>
        <v/>
      </c>
      <c r="B4" s="26"/>
      <c r="C4" s="47"/>
      <c r="D4" s="45">
        <f>IF(B3="Melkvee",B4*1,IF(B3="Vleesvee",B4*0.8,0))</f>
        <v>0</v>
      </c>
    </row>
    <row r="5" spans="1:4" x14ac:dyDescent="0.3">
      <c r="A5" s="43" t="str">
        <f>IF(B3="Melkvee","Aantal jongvee &lt; 1 jaar",IF(B3="Vleesvee","Aantal mestkalveren",""))</f>
        <v/>
      </c>
      <c r="B5" s="26"/>
      <c r="C5" s="44"/>
      <c r="D5" s="45">
        <f>IF(B3="Melkvee",B5*0.4,IF(B3="Vleesvee",B5*0.4,0))</f>
        <v>0</v>
      </c>
    </row>
    <row r="6" spans="1:4" x14ac:dyDescent="0.3">
      <c r="A6" s="46" t="str">
        <f>IF(B3="Melkvee","Aantal jongvee &gt; 1 jaar",IF(B3="Vleesvee","Aantal runderen &lt; 1 jaar",""))</f>
        <v/>
      </c>
      <c r="B6" s="26"/>
      <c r="C6" s="47"/>
      <c r="D6" s="45">
        <f>IF(B3="Melkvee",B6*0.6,IF(B3="Vleesvee",B6*0.4,0))</f>
        <v>0</v>
      </c>
    </row>
    <row r="7" spans="1:4" x14ac:dyDescent="0.3">
      <c r="A7" s="43" t="str">
        <f>IF(B3="Vleesvee","Aantal runderen &gt; 1 jaar","")</f>
        <v/>
      </c>
      <c r="B7" s="27"/>
      <c r="C7" s="44"/>
      <c r="D7" s="45">
        <f>IF(B3="Vleesvee",B7*0.6,0)</f>
        <v>0</v>
      </c>
    </row>
    <row r="8" spans="1:4" x14ac:dyDescent="0.3">
      <c r="A8" s="46" t="s">
        <v>7</v>
      </c>
      <c r="B8" s="26"/>
      <c r="C8" s="47"/>
    </row>
    <row r="9" spans="1:4" x14ac:dyDescent="0.3">
      <c r="A9" s="43"/>
      <c r="B9" s="27"/>
      <c r="C9" s="44"/>
    </row>
    <row r="10" spans="1:4" ht="16.5" customHeight="1" x14ac:dyDescent="0.3">
      <c r="A10" s="48" t="s">
        <v>9</v>
      </c>
      <c r="B10" s="26"/>
      <c r="C10" s="47" t="s">
        <v>10</v>
      </c>
    </row>
    <row r="11" spans="1:4" x14ac:dyDescent="0.3">
      <c r="A11" s="43" t="s">
        <v>11</v>
      </c>
      <c r="B11" s="26"/>
      <c r="C11" s="44" t="s">
        <v>10</v>
      </c>
    </row>
    <row r="12" spans="1:4" x14ac:dyDescent="0.3">
      <c r="A12" s="46" t="s">
        <v>12</v>
      </c>
      <c r="B12" s="26"/>
      <c r="C12" s="47" t="s">
        <v>10</v>
      </c>
    </row>
    <row r="13" spans="1:4" x14ac:dyDescent="0.3">
      <c r="A13" s="43" t="s">
        <v>13</v>
      </c>
      <c r="B13" s="26"/>
      <c r="C13" s="44" t="s">
        <v>10</v>
      </c>
    </row>
    <row r="14" spans="1:4" x14ac:dyDescent="0.3">
      <c r="A14" s="46" t="s">
        <v>14</v>
      </c>
      <c r="B14" s="26"/>
      <c r="C14" s="47" t="s">
        <v>10</v>
      </c>
    </row>
    <row r="15" spans="1:4" x14ac:dyDescent="0.3">
      <c r="A15" s="43" t="s">
        <v>15</v>
      </c>
      <c r="B15" s="26"/>
      <c r="C15" s="44" t="s">
        <v>10</v>
      </c>
    </row>
    <row r="16" spans="1:4" x14ac:dyDescent="0.3">
      <c r="A16" s="46" t="s">
        <v>16</v>
      </c>
      <c r="B16" s="26"/>
      <c r="C16" s="47" t="s">
        <v>10</v>
      </c>
    </row>
    <row r="17" spans="1:3" x14ac:dyDescent="0.3">
      <c r="A17" s="43" t="s">
        <v>17</v>
      </c>
      <c r="B17" s="26"/>
      <c r="C17" s="44" t="s">
        <v>10</v>
      </c>
    </row>
    <row r="18" spans="1:3" x14ac:dyDescent="0.3">
      <c r="A18" s="46" t="s">
        <v>427</v>
      </c>
      <c r="B18" s="26"/>
      <c r="C18" s="47" t="s">
        <v>10</v>
      </c>
    </row>
    <row r="19" spans="1:3" x14ac:dyDescent="0.3">
      <c r="A19" s="43" t="s">
        <v>18</v>
      </c>
      <c r="B19" s="26"/>
      <c r="C19" s="44" t="s">
        <v>10</v>
      </c>
    </row>
    <row r="20" spans="1:3" ht="15" thickBot="1" x14ac:dyDescent="0.35">
      <c r="A20" s="49" t="s">
        <v>19</v>
      </c>
      <c r="B20" s="50">
        <f>SUM(B10:B14,B19)</f>
        <v>0</v>
      </c>
      <c r="C20" s="51" t="s">
        <v>10</v>
      </c>
    </row>
  </sheetData>
  <sheetProtection algorithmName="SHA-512" hashValue="ZO5hABjzHcKc5ER1zmaN3R8GJNaoXW1kEA+fTEgBORhbGe7619VXEJGdwrZrzkjR8Dd5ed8W5dGfA8ikOQ4EwQ==" saltValue="UCck3VIcf/zhBnzJb+5a5w==" spinCount="100000" sheet="1" selectLockedCells="1"/>
  <conditionalFormatting sqref="B7">
    <cfRule type="expression" dxfId="3" priority="1">
      <formula>$B$3="Vleesvee"</formula>
    </cfRule>
  </conditionalFormatting>
  <dataValidations count="2">
    <dataValidation type="decimal" operator="greaterThan" allowBlank="1" showInputMessage="1" showErrorMessage="1" sqref="B7 B9 B20" xr:uid="{A5C356D2-6C81-4C6B-93F1-B243AC188EF5}">
      <formula1>0</formula1>
    </dataValidation>
    <dataValidation type="decimal" operator="greaterThanOrEqual" allowBlank="1" showInputMessage="1" showErrorMessage="1" sqref="B10:B19 B4:B6" xr:uid="{109D084C-A097-4BF5-8689-375859054A5F}">
      <formula1>0</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BB714BB-17E8-446D-A7EB-90B32D5C1E4C}">
          <x14:formula1>
            <xm:f>Lijsten!$M$2:$M$3</xm:f>
          </x14:formula1>
          <xm:sqref>B3</xm:sqref>
        </x14:dataValidation>
        <x14:dataValidation type="list" operator="greaterThan" allowBlank="1" showInputMessage="1" showErrorMessage="1" xr:uid="{6E7ACD41-8241-40F2-9C99-589066F5C756}">
          <x14:formula1>
            <xm:f>Lijsten!$AL$2:$AL$4</xm:f>
          </x14:formula1>
          <xm:sqref>B8</xm:sqref>
        </x14:dataValidation>
        <x14:dataValidation type="list" allowBlank="1" showInputMessage="1" showErrorMessage="1" xr:uid="{ED83E8E8-1D88-4D91-AB24-2C4513E1F04F}">
          <x14:formula1>
            <xm:f>Lijsten!$AN$2:$AN$3</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AC750-CBCB-46AC-B0C7-1FF119BC7C93}">
  <sheetPr codeName="Blad4"/>
  <dimension ref="A1:D15"/>
  <sheetViews>
    <sheetView workbookViewId="0">
      <selection activeCell="B2" sqref="B2"/>
    </sheetView>
  </sheetViews>
  <sheetFormatPr defaultRowHeight="14.4" x14ac:dyDescent="0.3"/>
  <cols>
    <col min="1" max="1" width="63" customWidth="1"/>
    <col min="2" max="2" width="11.88671875" customWidth="1"/>
    <col min="3" max="3" width="9.88671875" hidden="1" customWidth="1"/>
    <col min="4" max="4" width="12.88671875" hidden="1" customWidth="1"/>
  </cols>
  <sheetData>
    <row r="1" spans="1:4" ht="15" thickBot="1" x14ac:dyDescent="0.35">
      <c r="A1" s="52" t="s">
        <v>1</v>
      </c>
      <c r="B1" s="53" t="s">
        <v>2</v>
      </c>
      <c r="C1" s="53" t="s">
        <v>20</v>
      </c>
      <c r="D1" s="53" t="s">
        <v>21</v>
      </c>
    </row>
    <row r="2" spans="1:4" x14ac:dyDescent="0.3">
      <c r="A2" t="s">
        <v>23</v>
      </c>
      <c r="B2" s="26"/>
      <c r="C2">
        <f>IF(B2=Scoring!C4,Scoring!C5,Scoring!D5)</f>
        <v>0</v>
      </c>
      <c r="D2" t="str">
        <f>IF(C2=Scoring!N4,"Nee","Ja")</f>
        <v>Ja</v>
      </c>
    </row>
    <row r="3" spans="1:4" x14ac:dyDescent="0.3">
      <c r="A3" s="54" t="s">
        <v>25</v>
      </c>
      <c r="B3" s="54"/>
      <c r="C3" s="54"/>
      <c r="D3" s="54"/>
    </row>
    <row r="4" spans="1:4" x14ac:dyDescent="0.3">
      <c r="A4" s="55" t="s">
        <v>26</v>
      </c>
      <c r="B4" s="29" t="b">
        <v>0</v>
      </c>
      <c r="C4" s="56">
        <f>IF(B4=Scoring!C7,Scoring!C8,0)</f>
        <v>0</v>
      </c>
      <c r="D4" s="56" t="str">
        <f>IF(C4=Scoring!N7,"Nee","Ja")</f>
        <v>Ja</v>
      </c>
    </row>
    <row r="5" spans="1:4" x14ac:dyDescent="0.3">
      <c r="A5" s="57" t="s">
        <v>27</v>
      </c>
      <c r="B5" s="29" t="b">
        <v>0</v>
      </c>
      <c r="C5" s="54">
        <f>IF(B5=Scoring!C9,Scoring!C10,0)</f>
        <v>0</v>
      </c>
      <c r="D5" s="54" t="str">
        <f>IF(C5=Scoring!N9,"Nee","Ja")</f>
        <v>Ja</v>
      </c>
    </row>
    <row r="6" spans="1:4" x14ac:dyDescent="0.3">
      <c r="A6" s="55" t="s">
        <v>28</v>
      </c>
      <c r="B6" s="29" t="b">
        <v>0</v>
      </c>
      <c r="C6" s="56">
        <f>IF(B6=Scoring!C11,Scoring!C12,0)</f>
        <v>0</v>
      </c>
      <c r="D6" s="56" t="str">
        <f>IF(C6=Scoring!N11,"Nee","Ja")</f>
        <v>Ja</v>
      </c>
    </row>
    <row r="7" spans="1:4" x14ac:dyDescent="0.3">
      <c r="A7" s="57" t="s">
        <v>29</v>
      </c>
      <c r="B7" s="29" t="b">
        <v>0</v>
      </c>
      <c r="C7" s="54">
        <f>IF(B7=Scoring!C13,Scoring!C14,0)</f>
        <v>0</v>
      </c>
      <c r="D7" s="54" t="str">
        <f>IF(C7=Scoring!N13,"Nee","Ja")</f>
        <v>Ja</v>
      </c>
    </row>
    <row r="8" spans="1:4" x14ac:dyDescent="0.3">
      <c r="A8" t="s">
        <v>30</v>
      </c>
      <c r="B8" s="30"/>
      <c r="C8">
        <f>IF(B8&lt;Scoring!F17,Scoring!F18,IF(B8&lt;Scoring!G17,Scoring!G18,IF(B8&lt;Scoring!H17,Scoring!H18,IF(B8&lt;Scoring!I17,Scoring!I18,IF(B8&lt;Scoring!J17,Scoring!J18,IF(B8&lt;Scoring!F15,Scoring!F16,IF(B8&lt;Scoring!G15,Scoring!G16,IF(B8&lt;Scoring!H15,Scoring!H16,IF(B8&lt;Scoring!I15,Scoring!I16,IF(B8&lt;Scoring!J15,Scoring!J16,0))))))))))</f>
        <v>0</v>
      </c>
      <c r="D8" t="str">
        <f>IF(C8=Scoring!N15,"Nee","Ja")</f>
        <v>Ja</v>
      </c>
    </row>
    <row r="9" spans="1:4" x14ac:dyDescent="0.3">
      <c r="A9" s="5" t="s">
        <v>31</v>
      </c>
      <c r="B9" s="30"/>
      <c r="C9" s="5">
        <f>IF(B9&lt;Scoring!F21,Scoring!F22,IF(B9&lt;Scoring!G21,Scoring!G22,IF(B9&lt;Scoring!H21,Scoring!H22,IF(B9&lt;Scoring!I21,Scoring!I22,IF(B9&lt;Scoring!F19,Scoring!F20,IF(B9&lt;Scoring!G19,Scoring!G20,IF(B9&lt;Scoring!H19,Scoring!H20,IF(B9&lt;Scoring!I19,Scoring!I20,0))))))))</f>
        <v>0</v>
      </c>
      <c r="D9" s="5" t="str">
        <f>IF(C9=Scoring!N19,"Nee","Ja")</f>
        <v>Ja</v>
      </c>
    </row>
    <row r="10" spans="1:4" x14ac:dyDescent="0.3">
      <c r="A10" t="s">
        <v>32</v>
      </c>
      <c r="B10" s="26"/>
      <c r="C10" t="str">
        <f>IF(B10=Scoring!C23,Scoring!C24,IF(B10=Scoring!D23,Scoring!D24,IF(B10=Scoring!E23,Scoring!E24,IF(B10=Scoring!F23,Scoring!F24,IF(B10=Scoring!G23,Scoring!G24,IF(B10=Scoring!H23,Scoring!H24,""))))))</f>
        <v/>
      </c>
      <c r="D10" t="str">
        <f>IF(C10=Scoring!N23,"Nee","Ja")</f>
        <v>Ja</v>
      </c>
    </row>
    <row r="11" spans="1:4" x14ac:dyDescent="0.3">
      <c r="A11" s="5" t="s">
        <v>34</v>
      </c>
      <c r="B11" s="31"/>
      <c r="C11" s="5" t="str">
        <f>IF(B11=Scoring!C25,Scoring!C26,IF(B11=Scoring!D25,Scoring!D26,IF(B11=Scoring!E25,Scoring!E26,IF(B11=Scoring!F25,Scoring!F26,IF(B11=Scoring!G25,Scoring!G26,IF(B11=Scoring!H25,Scoring!H26,""))))))</f>
        <v/>
      </c>
      <c r="D11" s="5" t="str">
        <f>IF(C11=Scoring!N25,"Nee","Ja")</f>
        <v>Ja</v>
      </c>
    </row>
    <row r="12" spans="1:4" x14ac:dyDescent="0.3">
      <c r="A12" t="s">
        <v>36</v>
      </c>
      <c r="B12" s="26"/>
      <c r="C12">
        <f>IF(B12=Scoring!C27,Scoring!C28,Scoring!D28)</f>
        <v>0</v>
      </c>
      <c r="D12" t="str">
        <f>IF(C12=Scoring!N27,"Nee","Ja")</f>
        <v>Ja</v>
      </c>
    </row>
    <row r="13" spans="1:4" x14ac:dyDescent="0.3">
      <c r="A13" s="5" t="s">
        <v>37</v>
      </c>
      <c r="B13" s="31"/>
      <c r="C13" s="5">
        <f>IF(B13=Scoring!C29,Scoring!C30,Scoring!D30)</f>
        <v>0</v>
      </c>
      <c r="D13" s="5" t="str">
        <f>IF(C13=Scoring!N29,"Nee","Ja")</f>
        <v>Ja</v>
      </c>
    </row>
    <row r="14" spans="1:4" hidden="1" x14ac:dyDescent="0.3">
      <c r="B14" t="s">
        <v>38</v>
      </c>
      <c r="C14">
        <f>IF(OR(B4=Scoring!C7,B5=Scoring!C9),SUM(Zaai!C2:C13),SUM(Zaai!C2:C8,Zaai!C10,Zaai!C13))</f>
        <v>0</v>
      </c>
    </row>
    <row r="15" spans="1:4" hidden="1" x14ac:dyDescent="0.3">
      <c r="C15" s="58">
        <f>IF(OR(B4=Scoring!C7,B5=Scoring!C9),Zaai!C14/Scoring!N31,Zaai!C14/Scoring!N32)</f>
        <v>0</v>
      </c>
    </row>
  </sheetData>
  <sheetProtection algorithmName="SHA-512" hashValue="KJwmbXvIyvvKrZAxv2RL85DIHNB9Y+BF9ri6Ov9suCvFscGPFQhrOWHNbsk6IM58qac6dETZLQHTrGDZcBM8Fg==" saltValue="cg2WH+eO9+klYNyEsqt/BA==" spinCount="100000" sheet="1" objects="1" scenarios="1" selectLockedCells="1"/>
  <conditionalFormatting sqref="A12:C12">
    <cfRule type="expression" dxfId="2" priority="3">
      <formula>AND($B$4="Nee",$B$3="Nee")</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51E184E-1976-4CE3-8B6A-0B4A50B199F6}">
          <x14:formula1>
            <xm:f>Lijsten!$E$2:$E$7</xm:f>
          </x14:formula1>
          <xm:sqref>B10:B11</xm:sqref>
        </x14:dataValidation>
        <x14:dataValidation type="list" allowBlank="1" showInputMessage="1" showErrorMessage="1" xr:uid="{F27A9C98-F1BF-4101-BF4B-D75CA1EA1C70}">
          <x14:formula1>
            <xm:f>Lijsten!$A$2:$A$3</xm:f>
          </x14:formula1>
          <xm:sqref>B12:B13 B2</xm:sqref>
        </x14:dataValidation>
        <x14:dataValidation type="list" allowBlank="1" showInputMessage="1" showErrorMessage="1" xr:uid="{45079D6E-436C-48B5-8CA7-72130C4E4744}">
          <x14:formula1>
            <xm:f>Lijsten!$C$2:$C$366</xm:f>
          </x14:formula1>
          <xm:sqref>B8:B9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47867-165C-4E16-BD67-0516984C6903}">
  <sheetPr codeName="Blad5"/>
  <dimension ref="A1:D30"/>
  <sheetViews>
    <sheetView workbookViewId="0">
      <selection activeCell="B2" sqref="B2"/>
    </sheetView>
  </sheetViews>
  <sheetFormatPr defaultRowHeight="14.4" x14ac:dyDescent="0.3"/>
  <cols>
    <col min="1" max="1" width="73.33203125" customWidth="1"/>
    <col min="2" max="2" width="11.33203125" customWidth="1"/>
    <col min="3" max="3" width="11" hidden="1" customWidth="1"/>
    <col min="4" max="4" width="13.33203125" hidden="1" customWidth="1"/>
  </cols>
  <sheetData>
    <row r="1" spans="1:4" ht="15" thickBot="1" x14ac:dyDescent="0.35">
      <c r="A1" s="52" t="s">
        <v>1</v>
      </c>
      <c r="B1" s="53" t="s">
        <v>2</v>
      </c>
      <c r="C1" s="53" t="s">
        <v>20</v>
      </c>
      <c r="D1" s="53" t="s">
        <v>21</v>
      </c>
    </row>
    <row r="2" spans="1:4" x14ac:dyDescent="0.3">
      <c r="A2" t="s">
        <v>40</v>
      </c>
      <c r="B2" s="26"/>
      <c r="C2">
        <f>IF(B2=Scoring!C35,Scoring!C36,0)</f>
        <v>0</v>
      </c>
      <c r="D2" t="str">
        <f>IF(C2&lt;Scoring!N35,"Ja","Nee")</f>
        <v>Ja</v>
      </c>
    </row>
    <row r="3" spans="1:4" x14ac:dyDescent="0.3">
      <c r="A3" s="5" t="s">
        <v>41</v>
      </c>
      <c r="B3" s="26"/>
      <c r="C3" s="5">
        <f>IF(B3=Scoring!C37,Scoring!C38,0)</f>
        <v>0</v>
      </c>
      <c r="D3" s="54" t="str">
        <f>IF(C3&lt;Scoring!N37,"Ja","Nee")</f>
        <v>Ja</v>
      </c>
    </row>
    <row r="4" spans="1:4" x14ac:dyDescent="0.3">
      <c r="A4" t="s">
        <v>42</v>
      </c>
      <c r="B4" s="26"/>
      <c r="C4" t="e">
        <f>HLOOKUP(B4,Scoring!D39:K40,2,FALSE)</f>
        <v>#N/A</v>
      </c>
      <c r="D4" t="e">
        <f>IF(C4&lt;Scoring!N39,"Ja","Nee")</f>
        <v>#N/A</v>
      </c>
    </row>
    <row r="5" spans="1:4" x14ac:dyDescent="0.3">
      <c r="A5" s="5" t="s">
        <v>44</v>
      </c>
      <c r="B5" s="26"/>
      <c r="C5" s="5">
        <f>IF(B5=Scoring!C45,Scoring!C46,0)</f>
        <v>0</v>
      </c>
      <c r="D5" s="5" t="str">
        <f>IF(C5&lt;Scoring!N45,"Ja","Nee")</f>
        <v>Ja</v>
      </c>
    </row>
    <row r="6" spans="1:4" x14ac:dyDescent="0.3">
      <c r="A6" t="s">
        <v>45</v>
      </c>
      <c r="D6" s="56"/>
    </row>
    <row r="7" spans="1:4" x14ac:dyDescent="0.3">
      <c r="A7" s="59" t="s">
        <v>46</v>
      </c>
      <c r="B7" s="32" t="b">
        <v>0</v>
      </c>
      <c r="C7" s="5">
        <f>IF(B7=Scoring!C48,Scoring!N48,0)</f>
        <v>0</v>
      </c>
      <c r="D7" s="5" t="str">
        <f>IF(C7&lt;Scoring!N48,"Ja","Nee")</f>
        <v>Ja</v>
      </c>
    </row>
    <row r="8" spans="1:4" x14ac:dyDescent="0.3">
      <c r="A8" s="2" t="s">
        <v>47</v>
      </c>
      <c r="B8" s="32" t="b">
        <v>0</v>
      </c>
      <c r="C8">
        <f>IF(B8=Scoring!C50,Scoring!N50,0)</f>
        <v>0</v>
      </c>
      <c r="D8" s="56" t="str">
        <f>IF(C8&lt;Scoring!N50,"Ja","Nee")</f>
        <v>Ja</v>
      </c>
    </row>
    <row r="9" spans="1:4" x14ac:dyDescent="0.3">
      <c r="A9" s="59" t="s">
        <v>48</v>
      </c>
      <c r="B9" s="32" t="b">
        <v>0</v>
      </c>
      <c r="C9" s="5">
        <f>IF(B9=Scoring!C52,Scoring!N52,0)</f>
        <v>0</v>
      </c>
      <c r="D9" s="5" t="str">
        <f>IF(C9&lt;Scoring!N52,"Ja","Nee")</f>
        <v>Ja</v>
      </c>
    </row>
    <row r="10" spans="1:4" x14ac:dyDescent="0.3">
      <c r="A10" s="2" t="s">
        <v>49</v>
      </c>
      <c r="B10" s="32" t="b">
        <v>0</v>
      </c>
      <c r="C10">
        <f>IF(B10=Scoring!C54,Scoring!N54,0)</f>
        <v>0</v>
      </c>
      <c r="D10" s="56" t="str">
        <f>IF(C10&lt;Scoring!N54,"Ja","Nee")</f>
        <v>Ja</v>
      </c>
    </row>
    <row r="11" spans="1:4" x14ac:dyDescent="0.3">
      <c r="A11" s="59" t="s">
        <v>50</v>
      </c>
      <c r="B11" s="32" t="b">
        <v>0</v>
      </c>
      <c r="C11" s="5">
        <f>IF(B11=Scoring!C56,Scoring!N56,0)</f>
        <v>0</v>
      </c>
      <c r="D11" s="5" t="str">
        <f>IF(C11&lt;Scoring!N56,"Ja","Nee")</f>
        <v>Ja</v>
      </c>
    </row>
    <row r="12" spans="1:4" x14ac:dyDescent="0.3">
      <c r="A12" s="2" t="s">
        <v>51</v>
      </c>
      <c r="B12" s="32" t="b">
        <v>0</v>
      </c>
      <c r="C12">
        <f>IF(B12=Scoring!C58,Scoring!N58,0)</f>
        <v>0</v>
      </c>
      <c r="D12" s="56" t="str">
        <f>IF(C12&lt;Scoring!N58,"Ja","Nee")</f>
        <v>Ja</v>
      </c>
    </row>
    <row r="13" spans="1:4" x14ac:dyDescent="0.3">
      <c r="A13" s="59" t="s">
        <v>52</v>
      </c>
      <c r="B13" s="32" t="b">
        <v>0</v>
      </c>
      <c r="C13" s="5">
        <f>IF(B13=Scoring!C60,Scoring!N60,0)</f>
        <v>0</v>
      </c>
      <c r="D13" s="5" t="str">
        <f>IF(C13&lt;Scoring!N60,"Ja","Nee")</f>
        <v>Ja</v>
      </c>
    </row>
    <row r="14" spans="1:4" x14ac:dyDescent="0.3">
      <c r="A14" s="37" t="s">
        <v>422</v>
      </c>
      <c r="B14" s="26"/>
      <c r="C14">
        <f>IF(B14&lt;Scoring!D62,Scoring!D63,Scoring!E63)</f>
        <v>0</v>
      </c>
      <c r="D14" s="56" t="str">
        <f>IF(C14&lt;Scoring!N62,"Ja","Nee")</f>
        <v>Ja</v>
      </c>
    </row>
    <row r="15" spans="1:4" x14ac:dyDescent="0.3">
      <c r="A15" s="60" t="s">
        <v>425</v>
      </c>
      <c r="B15" s="26"/>
      <c r="C15" s="5">
        <f>IF(B15&lt;Scoring!D64,Scoring!D65,IF(B15&lt;Scoring!E64,Scoring!E65,Scoring!F65))</f>
        <v>0</v>
      </c>
      <c r="D15" s="54" t="str">
        <f>IF(C15&lt;Scoring!N64,"Ja","Nee")</f>
        <v>Ja</v>
      </c>
    </row>
    <row r="16" spans="1:4" x14ac:dyDescent="0.3">
      <c r="A16" s="37" t="s">
        <v>423</v>
      </c>
      <c r="B16" s="33"/>
      <c r="C16">
        <f>IF(B16=Scoring!C66,Scoring!C67,0)</f>
        <v>0</v>
      </c>
      <c r="D16" s="56" t="str">
        <f>IF(C16&lt;Scoring!N66,"Ja","Nee")</f>
        <v>Ja</v>
      </c>
    </row>
    <row r="17" spans="1:4" x14ac:dyDescent="0.3">
      <c r="A17" s="5" t="s">
        <v>54</v>
      </c>
      <c r="B17" s="26"/>
      <c r="C17" s="5" t="str">
        <f>IF(B17=Scoring!C68,Scoring!C69,IF(B17=Scoring!D68,Scoring!D69,IF(B17=Scoring!E68,Scoring!E69,IF(B17=Scoring!F68,Scoring!F69,IF(B17=Scoring!G68,Scoring!G69,"")))))</f>
        <v/>
      </c>
      <c r="D17" s="5" t="str">
        <f>IF(C17&lt;Scoring!N68,"Ja","Nee")</f>
        <v>Nee</v>
      </c>
    </row>
    <row r="18" spans="1:4" x14ac:dyDescent="0.3">
      <c r="A18" s="37" t="s">
        <v>56</v>
      </c>
      <c r="B18" s="33"/>
      <c r="C18" s="37">
        <f>IF(B18=Scoring!C70,Scoring!N70,0)</f>
        <v>0</v>
      </c>
      <c r="D18" s="37" t="str">
        <f>IF(C18&lt;Scoring!N70,"Ja","Nee")</f>
        <v>Ja</v>
      </c>
    </row>
    <row r="19" spans="1:4" x14ac:dyDescent="0.3">
      <c r="A19" s="5" t="s">
        <v>57</v>
      </c>
      <c r="B19" s="26"/>
      <c r="C19" s="5">
        <f>IF(B19=Scoring!C72,Scoring!N72,0)</f>
        <v>0</v>
      </c>
      <c r="D19" s="5" t="str">
        <f>IF(C19&lt;Scoring!N72,"Ja","Nee")</f>
        <v>Ja</v>
      </c>
    </row>
    <row r="20" spans="1:4" x14ac:dyDescent="0.3">
      <c r="A20" s="37" t="s">
        <v>58</v>
      </c>
      <c r="B20" s="33"/>
      <c r="C20" s="37">
        <f>IF(B20=Scoring!C74,Scoring!N74,0)</f>
        <v>0</v>
      </c>
      <c r="D20" s="37" t="str">
        <f>IF(C20&lt;Scoring!N74,"Ja","Nee")</f>
        <v>Ja</v>
      </c>
    </row>
    <row r="21" spans="1:4" x14ac:dyDescent="0.3">
      <c r="A21" s="5" t="s">
        <v>59</v>
      </c>
      <c r="B21" s="26"/>
      <c r="C21" s="5">
        <f>IF(B21=Scoring!C76,Scoring!N76,0)</f>
        <v>0</v>
      </c>
      <c r="D21" s="5" t="str">
        <f>IF(C21&lt;Scoring!N76,"Ja","Nee")</f>
        <v>Ja</v>
      </c>
    </row>
    <row r="22" spans="1:4" x14ac:dyDescent="0.3">
      <c r="A22" s="37" t="s">
        <v>60</v>
      </c>
      <c r="B22" s="33"/>
      <c r="C22" s="37">
        <f>IF(B22=Scoring!C78,Scoring!N78,0)</f>
        <v>0</v>
      </c>
      <c r="D22" s="37" t="str">
        <f>IF(C22&lt;Scoring!N78,"Ja","Nee")</f>
        <v>Ja</v>
      </c>
    </row>
    <row r="23" spans="1:4" x14ac:dyDescent="0.3">
      <c r="A23" s="5" t="s">
        <v>62</v>
      </c>
      <c r="B23" s="26"/>
      <c r="C23" s="5">
        <f>IF(B23=Scoring!C80,Scoring!N80,0)</f>
        <v>0</v>
      </c>
      <c r="D23" s="5" t="str">
        <f>IF(C23&lt;Scoring!N80,"Ja","Nee")</f>
        <v>Ja</v>
      </c>
    </row>
    <row r="24" spans="1:4" x14ac:dyDescent="0.3">
      <c r="A24" s="37" t="s">
        <v>63</v>
      </c>
      <c r="B24" s="33"/>
      <c r="C24" s="37">
        <f>IF(B24=Scoring!C82,Scoring!N82,0)</f>
        <v>0</v>
      </c>
      <c r="D24" s="37" t="str">
        <f>IF(C24&lt;Scoring!N82,"Ja","Nee")</f>
        <v>Ja</v>
      </c>
    </row>
    <row r="25" spans="1:4" x14ac:dyDescent="0.3">
      <c r="A25" s="5" t="s">
        <v>64</v>
      </c>
      <c r="B25" s="26"/>
      <c r="C25" s="5" t="b">
        <f>IF(OR(B25=Scoring!C84),Scoring!C85,IF(B25=Scoring!D84,Scoring!D85,IF(Nutriëntenbeheer!B25=Scoring!E84,Scoring!E85,IF(Nutriëntenbeheer!B25=Scoring!F84,Scoring!F85))))</f>
        <v>0</v>
      </c>
      <c r="D25" s="5" t="str">
        <f>IF(C25&lt;Scoring!N84,"Ja","Nee")</f>
        <v>Nee</v>
      </c>
    </row>
    <row r="26" spans="1:4" x14ac:dyDescent="0.3">
      <c r="A26" t="s">
        <v>66</v>
      </c>
      <c r="B26" s="26"/>
    </row>
    <row r="27" spans="1:4" x14ac:dyDescent="0.3">
      <c r="A27" s="5" t="s">
        <v>447</v>
      </c>
      <c r="B27" s="26"/>
      <c r="C27" s="5"/>
      <c r="D27" s="5"/>
    </row>
    <row r="28" spans="1:4" hidden="1" x14ac:dyDescent="0.3">
      <c r="A28" s="37"/>
      <c r="B28" t="s">
        <v>38</v>
      </c>
      <c r="C28" t="e">
        <f>IF(OR(Zaai!B4=Scoring!C7,Zaai!B5=Scoring!C9),SUM(C2:C27),SUM(C2:C20,C22:C27))</f>
        <v>#N/A</v>
      </c>
    </row>
    <row r="29" spans="1:4" hidden="1" x14ac:dyDescent="0.3">
      <c r="A29" s="37"/>
      <c r="C29" s="61" t="e">
        <f>IF(OR(Zaai!B4=Scoring!C7,Zaai!B5=Scoring!C9),C28/Scoring!N90,C28/Scoring!N91)</f>
        <v>#N/A</v>
      </c>
    </row>
    <row r="30" spans="1:4" x14ac:dyDescent="0.3">
      <c r="A30" s="37"/>
    </row>
  </sheetData>
  <sheetProtection algorithmName="SHA-512" hashValue="FhhhDF1lNeoyKB64DuOxlacdyoSrkbNbHC/2mQHDfXIC6aIFwIc23MvrjTzsq8A3UdKtgu7JAyrGMipZevKTPQ==" saltValue="m9afg1PwT2uS42dQxWGktg==" spinCount="100000" sheet="1" objects="1" scenarios="1" selectLockedCells="1"/>
  <dataValidations count="3">
    <dataValidation type="whole" allowBlank="1" showInputMessage="1" showErrorMessage="1" sqref="B15" xr:uid="{F4F47F43-ED3D-4814-8624-754695B08E29}">
      <formula1>0</formula1>
      <formula2>500</formula2>
    </dataValidation>
    <dataValidation type="decimal" allowBlank="1" showInputMessage="1" showErrorMessage="1" sqref="B26" xr:uid="{62B282DE-209D-4FFB-A0B2-C36420650EB4}">
      <formula1>0</formula1>
      <formula2>1000</formula2>
    </dataValidation>
    <dataValidation type="decimal" allowBlank="1" showInputMessage="1" showErrorMessage="1" sqref="B27" xr:uid="{5A0AE95E-10FC-44C9-B0B6-A7F813CAB5F1}">
      <formula1>0</formula1>
      <formula2>300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1E3974DF-B446-42FF-A9FD-0FEAFB709C72}">
          <x14:formula1>
            <xm:f>Lijsten!$A$2:$A$3</xm:f>
          </x14:formula1>
          <xm:sqref>B2:B3 B5 B18:B24 B16</xm:sqref>
        </x14:dataValidation>
        <x14:dataValidation type="list" allowBlank="1" showInputMessage="1" showErrorMessage="1" xr:uid="{C573E5ED-EF3C-4323-B322-9F3F9E8E927F}">
          <x14:formula1>
            <xm:f>Lijsten!$G$2:$G$9</xm:f>
          </x14:formula1>
          <xm:sqref>B4</xm:sqref>
        </x14:dataValidation>
        <x14:dataValidation type="list" allowBlank="1" showInputMessage="1" showErrorMessage="1" xr:uid="{94CBE298-D91A-44E3-A14F-52C904E6CECD}">
          <x14:formula1>
            <xm:f>Lijsten!$AD$2:$AD$13</xm:f>
          </x14:formula1>
          <xm:sqref>B14</xm:sqref>
        </x14:dataValidation>
        <x14:dataValidation type="list" allowBlank="1" showInputMessage="1" showErrorMessage="1" xr:uid="{E4607BFB-5C9D-4097-9F2D-870A066EA7F2}">
          <x14:formula1>
            <xm:f>Lijsten!$AF$2:$AF$5</xm:f>
          </x14:formula1>
          <xm:sqref>B25</xm:sqref>
        </x14:dataValidation>
        <x14:dataValidation type="list" allowBlank="1" showInputMessage="1" showErrorMessage="1" xr:uid="{2FD90C40-94A8-411D-9157-03979BBE8C79}">
          <x14:formula1>
            <xm:f>Lijsten!$AH$2:$AH$6</xm:f>
          </x14:formula1>
          <xm:sqref>B17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5147-AE0E-43AA-B6A7-D6F78CF1FB16}">
  <sheetPr codeName="Blad6"/>
  <dimension ref="A1:E17"/>
  <sheetViews>
    <sheetView tabSelected="1" workbookViewId="0">
      <selection activeCell="B2" sqref="B2"/>
    </sheetView>
  </sheetViews>
  <sheetFormatPr defaultRowHeight="14.4" x14ac:dyDescent="0.3"/>
  <cols>
    <col min="1" max="1" width="78" customWidth="1"/>
    <col min="2" max="2" width="10.33203125" customWidth="1"/>
    <col min="3" max="3" width="0" hidden="1" customWidth="1"/>
    <col min="4" max="4" width="25.88671875" hidden="1" customWidth="1"/>
    <col min="5" max="5" width="12.5546875" hidden="1" customWidth="1"/>
  </cols>
  <sheetData>
    <row r="1" spans="1:5" ht="15" thickBot="1" x14ac:dyDescent="0.35">
      <c r="A1" s="52" t="s">
        <v>1</v>
      </c>
      <c r="B1" s="53" t="s">
        <v>2</v>
      </c>
      <c r="C1" s="53" t="s">
        <v>20</v>
      </c>
      <c r="D1" s="53" t="s">
        <v>39</v>
      </c>
      <c r="E1" s="53" t="s">
        <v>21</v>
      </c>
    </row>
    <row r="2" spans="1:5" x14ac:dyDescent="0.3">
      <c r="A2" s="60" t="s">
        <v>173</v>
      </c>
      <c r="B2" s="34"/>
      <c r="C2" s="59">
        <f>IF(B2=Scoring!C94,Scoring!C95,Scoring!D95)</f>
        <v>0</v>
      </c>
      <c r="D2" s="59"/>
      <c r="E2" s="59" t="str">
        <f>IF(C2&lt;Scoring!N94,"Ja","Nee")</f>
        <v>Ja</v>
      </c>
    </row>
    <row r="3" spans="1:5" x14ac:dyDescent="0.3">
      <c r="A3" t="s">
        <v>174</v>
      </c>
    </row>
    <row r="4" spans="1:5" x14ac:dyDescent="0.3">
      <c r="A4" s="59" t="s">
        <v>175</v>
      </c>
      <c r="B4" s="32" t="b">
        <v>0</v>
      </c>
      <c r="C4" s="5">
        <f>IF(B4=Scoring!C97,Scoring!C98,Scoring!D98)</f>
        <v>0</v>
      </c>
      <c r="D4" s="5"/>
      <c r="E4" s="5" t="str">
        <f>IF(C4&lt;Scoring!N97,"Ja","Nee")</f>
        <v>Ja</v>
      </c>
    </row>
    <row r="5" spans="1:5" x14ac:dyDescent="0.3">
      <c r="A5" s="2" t="s">
        <v>176</v>
      </c>
      <c r="B5" s="32" t="b">
        <v>0</v>
      </c>
      <c r="C5">
        <f>IF(B5=Scoring!C99,Scoring!C100,Scoring!D100)</f>
        <v>0</v>
      </c>
      <c r="E5" t="str">
        <f>IF(C5&lt;Scoring!N99,"Ja","Nee")</f>
        <v>Ja</v>
      </c>
    </row>
    <row r="6" spans="1:5" x14ac:dyDescent="0.3">
      <c r="A6" s="59" t="s">
        <v>177</v>
      </c>
      <c r="B6" s="32" t="b">
        <v>0</v>
      </c>
      <c r="C6" s="5">
        <f>IF(B6=Scoring!C101,Scoring!C102,Scoring!D102)</f>
        <v>0</v>
      </c>
      <c r="D6" s="5"/>
      <c r="E6" s="5" t="str">
        <f>IF(C6&lt;Scoring!N101,"Ja","Nee")</f>
        <v>Ja</v>
      </c>
    </row>
    <row r="7" spans="1:5" x14ac:dyDescent="0.3">
      <c r="A7" t="s">
        <v>178</v>
      </c>
      <c r="B7" s="26"/>
      <c r="C7" t="e">
        <f>HLOOKUP(B7,Scoring!C103:G104,2,FALSE)</f>
        <v>#N/A</v>
      </c>
      <c r="E7" t="e">
        <f>IF(C7&lt;Scoring!N103,"Ja","Nee")</f>
        <v>#N/A</v>
      </c>
    </row>
    <row r="8" spans="1:5" x14ac:dyDescent="0.3">
      <c r="A8" s="60" t="s">
        <v>184</v>
      </c>
      <c r="B8" s="26"/>
      <c r="C8" s="5" t="e">
        <f>HLOOKUP(B8,Scoring!C105:H106,2,FALSE)</f>
        <v>#N/A</v>
      </c>
      <c r="D8" s="5"/>
      <c r="E8" s="5" t="e">
        <f>IF(C8&lt;Scoring!N105,"Ja","Nee")</f>
        <v>#N/A</v>
      </c>
    </row>
    <row r="9" spans="1:5" x14ac:dyDescent="0.3">
      <c r="A9" t="s">
        <v>192</v>
      </c>
      <c r="B9" s="26"/>
      <c r="C9">
        <f>IF(B9=Scoring!C107,Scoring!N107,0)</f>
        <v>0</v>
      </c>
      <c r="E9" t="str">
        <f>IF(C9&lt;Scoring!N107,"Ja","Nee")</f>
        <v>Ja</v>
      </c>
    </row>
    <row r="10" spans="1:5" x14ac:dyDescent="0.3">
      <c r="A10" s="5" t="s">
        <v>194</v>
      </c>
      <c r="B10" s="26"/>
      <c r="C10" s="5" t="e">
        <f>HLOOKUP(B10,Scoring!C109:D110,2,FALSE)</f>
        <v>#N/A</v>
      </c>
      <c r="D10" s="5" t="s">
        <v>313</v>
      </c>
      <c r="E10" s="5" t="e">
        <f>IF(C10&lt;Scoring!N109,"Ja","Nee")</f>
        <v>#N/A</v>
      </c>
    </row>
    <row r="11" spans="1:5" x14ac:dyDescent="0.3">
      <c r="A11" t="s">
        <v>196</v>
      </c>
      <c r="B11" s="26"/>
      <c r="C11">
        <f>IF(B11=Scoring!C111,Scoring!C112,0)</f>
        <v>0</v>
      </c>
      <c r="E11" t="str">
        <f>IF(C11&lt;Scoring!N111,"Ja","Nee")</f>
        <v>Ja</v>
      </c>
    </row>
    <row r="12" spans="1:5" x14ac:dyDescent="0.3">
      <c r="A12" s="5" t="s">
        <v>198</v>
      </c>
      <c r="B12" s="26"/>
      <c r="C12" s="5" t="e">
        <f>HLOOKUP(B12,Scoring!C113:G114,2,FALSE)</f>
        <v>#N/A</v>
      </c>
      <c r="D12" s="5"/>
      <c r="E12" s="5" t="e">
        <f>IF(C12&lt;Scoring!N113,"Ja","Nee")</f>
        <v>#N/A</v>
      </c>
    </row>
    <row r="13" spans="1:5" x14ac:dyDescent="0.3">
      <c r="A13" t="s">
        <v>205</v>
      </c>
      <c r="B13" s="26"/>
      <c r="C13" t="e">
        <f>HLOOKUP(B13,Scoring!C115:I116,2,FALSE)</f>
        <v>#N/A</v>
      </c>
      <c r="E13" t="e">
        <f>IF(C13&lt;Scoring!N115,"Ja","Nee")</f>
        <v>#N/A</v>
      </c>
    </row>
    <row r="14" spans="1:5" x14ac:dyDescent="0.3">
      <c r="A14" s="5" t="s">
        <v>213</v>
      </c>
      <c r="B14" s="26"/>
      <c r="C14" s="5"/>
      <c r="D14" s="5" t="s">
        <v>314</v>
      </c>
      <c r="E14" s="5" t="str">
        <f>IF(C14&lt;Scoring!N117,"Ja","Nee")</f>
        <v>Nee</v>
      </c>
    </row>
    <row r="15" spans="1:5" x14ac:dyDescent="0.3">
      <c r="A15" t="s">
        <v>214</v>
      </c>
      <c r="B15" s="26"/>
      <c r="D15" t="s">
        <v>398</v>
      </c>
      <c r="E15" t="str">
        <f>IF(C15&lt;Scoring!N119,"Ja","Nee")</f>
        <v>Nee</v>
      </c>
    </row>
    <row r="16" spans="1:5" hidden="1" x14ac:dyDescent="0.3">
      <c r="B16" t="s">
        <v>38</v>
      </c>
      <c r="C16" t="e">
        <f>IF(OR(Zaai!B4=Scoring!C7,Zaai!B5=Scoring!C9),SUM(C2:C15),SUM(C2:C8,C10,C12:C15))</f>
        <v>#N/A</v>
      </c>
    </row>
    <row r="17" spans="3:3" hidden="1" x14ac:dyDescent="0.3">
      <c r="C17" s="61" t="e">
        <f>IF(OR(Zaai!B4=Scoring!C7,Zaai!B5=Scoring!C9),C16/Scoring!N121,C16/Scoring!N122)</f>
        <v>#N/A</v>
      </c>
    </row>
  </sheetData>
  <sheetProtection algorithmName="SHA-512" hashValue="WiM3KLSokfHD424D1DlJjjqeGfgM5hV/atu+XOWENJifHzjcCtcnOHLhvOJTwSoeGLMU2uoSKYxuAgX53mIRiQ==" saltValue="Zm2mlAIga0ZGB+lPTVw5Bw==" spinCount="100000" sheet="1" selectLockedCells="1"/>
  <dataValidations count="1">
    <dataValidation type="whole" allowBlank="1" showInputMessage="1" showErrorMessage="1" sqref="B15" xr:uid="{BAF021B0-954C-4BAB-8074-2312D7878FDB}">
      <formula1>2500</formula1>
      <formula2>20000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7">
        <x14:dataValidation type="list" allowBlank="1" showInputMessage="1" showErrorMessage="1" xr:uid="{0D3E5077-764C-4743-8DC9-DBE69611A4EA}">
          <x14:formula1>
            <xm:f>Lijsten!$R$2:$R$6</xm:f>
          </x14:formula1>
          <xm:sqref>B7</xm:sqref>
        </x14:dataValidation>
        <x14:dataValidation type="list" allowBlank="1" showInputMessage="1" showErrorMessage="1" xr:uid="{5B52A6C5-DA6F-44E6-AFD2-8EB0ED5659A1}">
          <x14:formula1>
            <xm:f>Lijsten!$I$2:$I$7</xm:f>
          </x14:formula1>
          <xm:sqref>B8</xm:sqref>
        </x14:dataValidation>
        <x14:dataValidation type="list" allowBlank="1" showInputMessage="1" showErrorMessage="1" xr:uid="{F47CB002-BDBB-47A4-900C-9E05A21D250F}">
          <x14:formula1>
            <xm:f>Lijsten!$K$2:$K$6</xm:f>
          </x14:formula1>
          <xm:sqref>B12</xm:sqref>
        </x14:dataValidation>
        <x14:dataValidation type="list" allowBlank="1" showInputMessage="1" showErrorMessage="1" xr:uid="{8D3E93E8-1588-45A2-83C0-BC1EA8B56EBC}">
          <x14:formula1>
            <xm:f>Lijsten!$T$2:$T$8</xm:f>
          </x14:formula1>
          <xm:sqref>B13</xm:sqref>
        </x14:dataValidation>
        <x14:dataValidation type="list" allowBlank="1" showInputMessage="1" showErrorMessage="1" xr:uid="{8CA90074-2AE0-4E60-BF0B-351936F846DC}">
          <x14:formula1>
            <xm:f>Lijsten!$V$2:$V$8</xm:f>
          </x14:formula1>
          <xm:sqref>B14</xm:sqref>
        </x14:dataValidation>
        <x14:dataValidation type="list" allowBlank="1" showInputMessage="1" showErrorMessage="1" xr:uid="{55E27C73-D629-4E3C-9CE4-8BCFAB763B89}">
          <x14:formula1>
            <xm:f>Lijsten!$A$2:$A$3</xm:f>
          </x14:formula1>
          <xm:sqref>B9 B11 B2</xm:sqref>
        </x14:dataValidation>
        <x14:dataValidation type="list" allowBlank="1" showInputMessage="1" showErrorMessage="1" xr:uid="{6465843B-22A3-4726-BC6A-6523D5FDC62C}">
          <x14:formula1>
            <xm:f>Scoring!$C$109:$D$109</xm:f>
          </x14:formula1>
          <xm:sqref>B10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6E582-3A65-440E-8743-5FB74AD14580}">
  <sheetPr codeName="Blad7"/>
  <dimension ref="A1:F27"/>
  <sheetViews>
    <sheetView workbookViewId="0">
      <selection activeCell="B2" sqref="B2"/>
    </sheetView>
  </sheetViews>
  <sheetFormatPr defaultRowHeight="14.4" x14ac:dyDescent="0.3"/>
  <cols>
    <col min="1" max="1" width="71.6640625" customWidth="1"/>
    <col min="2" max="2" width="26.109375" customWidth="1"/>
    <col min="3" max="5" width="0" hidden="1" customWidth="1"/>
    <col min="6" max="6" width="14.33203125" hidden="1" customWidth="1"/>
    <col min="7" max="7" width="30" customWidth="1"/>
  </cols>
  <sheetData>
    <row r="1" spans="1:6" ht="15" thickBot="1" x14ac:dyDescent="0.35">
      <c r="A1" s="53" t="s">
        <v>1</v>
      </c>
      <c r="B1" s="53" t="s">
        <v>2</v>
      </c>
      <c r="C1" s="53" t="s">
        <v>20</v>
      </c>
      <c r="D1" s="53" t="s">
        <v>39</v>
      </c>
      <c r="E1" s="53"/>
      <c r="F1" s="53" t="s">
        <v>21</v>
      </c>
    </row>
    <row r="2" spans="1:6" x14ac:dyDescent="0.3">
      <c r="A2" t="s">
        <v>217</v>
      </c>
      <c r="B2" s="26"/>
      <c r="C2">
        <f>IF(B2=Scoring!C125,Scoring!N125,0)</f>
        <v>0</v>
      </c>
      <c r="F2" t="str">
        <f>IF(C2&lt;Scoring!N125,"Ja","Nee")</f>
        <v>Ja</v>
      </c>
    </row>
    <row r="3" spans="1:6" x14ac:dyDescent="0.3">
      <c r="A3" s="5" t="s">
        <v>219</v>
      </c>
      <c r="B3" s="5"/>
      <c r="C3" s="5"/>
      <c r="D3" s="5"/>
      <c r="E3" s="5" t="s">
        <v>6</v>
      </c>
      <c r="F3" s="5"/>
    </row>
    <row r="4" spans="1:6" x14ac:dyDescent="0.3">
      <c r="A4" s="2" t="str">
        <f>IFERROR(_xlfn.TEXTAFTER(Algemeen!A4,"Aantal ",1),"")</f>
        <v/>
      </c>
      <c r="B4" s="32" t="b">
        <v>0</v>
      </c>
      <c r="C4">
        <f>IF(B4=Scoring!C128,Scoring!N128,0)</f>
        <v>0</v>
      </c>
      <c r="E4" t="str">
        <f>IF(B4,Algemeen!D4,"")</f>
        <v/>
      </c>
      <c r="F4" t="str">
        <f>IF(C4&lt;Scoring!N128,"Ja","Nee")</f>
        <v>Ja</v>
      </c>
    </row>
    <row r="5" spans="1:6" x14ac:dyDescent="0.3">
      <c r="A5" s="59" t="str">
        <f>IFERROR(_xlfn.TEXTAFTER(Algemeen!A5,"Aantal ",1),"")</f>
        <v/>
      </c>
      <c r="B5" s="32" t="b">
        <v>0</v>
      </c>
      <c r="C5" s="5">
        <f>IF(B5=Scoring!C130,Scoring!N130,0)</f>
        <v>0</v>
      </c>
      <c r="D5" s="5"/>
      <c r="E5" s="5" t="str">
        <f>IF(B5,Algemeen!D5,"")</f>
        <v/>
      </c>
      <c r="F5" s="5" t="str">
        <f>IF(C5&lt;Scoring!N130,"Ja","Nee")</f>
        <v>Ja</v>
      </c>
    </row>
    <row r="6" spans="1:6" x14ac:dyDescent="0.3">
      <c r="A6" s="2" t="str">
        <f>IFERROR(_xlfn.TEXTAFTER(Algemeen!A6,"Aantal ",1),"")</f>
        <v/>
      </c>
      <c r="B6" s="32" t="b">
        <v>0</v>
      </c>
      <c r="C6">
        <f>IF(B6=Scoring!C132,Scoring!N132,0)</f>
        <v>0</v>
      </c>
      <c r="E6" t="str">
        <f>IF(B6,Algemeen!D6,"")</f>
        <v/>
      </c>
      <c r="F6" t="str">
        <f>IF(C6&lt;Scoring!N132,"Ja","Nee")</f>
        <v>Ja</v>
      </c>
    </row>
    <row r="7" spans="1:6" x14ac:dyDescent="0.3">
      <c r="A7" s="59" t="str">
        <f>IFERROR(_xlfn.TEXTAFTER(Algemeen!A7,"Aantal ",1),"")</f>
        <v/>
      </c>
      <c r="B7" s="28" t="b">
        <v>0</v>
      </c>
      <c r="C7" s="5">
        <f>IF(B7=Scoring!C134,Scoring!N134,0)</f>
        <v>0</v>
      </c>
      <c r="D7" s="5"/>
      <c r="E7" s="5" t="str">
        <f>IF(B7,Algemeen!D7,"")</f>
        <v/>
      </c>
      <c r="F7" s="5" t="str">
        <f>IF(C7&lt;Scoring!N134,"Ja","Nee")</f>
        <v>Ja</v>
      </c>
    </row>
    <row r="8" spans="1:6" x14ac:dyDescent="0.3">
      <c r="A8" t="s">
        <v>315</v>
      </c>
      <c r="B8" s="26"/>
    </row>
    <row r="9" spans="1:6" x14ac:dyDescent="0.3">
      <c r="A9" s="5" t="s">
        <v>220</v>
      </c>
      <c r="B9" s="26"/>
      <c r="C9" s="5">
        <f>IF(B9&lt;Scoring!C136,Scoring!N136,0)</f>
        <v>1</v>
      </c>
      <c r="D9" s="5"/>
      <c r="E9" s="5"/>
      <c r="F9" s="5" t="str">
        <f>IF(C9&lt;Scoring!N136,"Ja","Nee")</f>
        <v>Nee</v>
      </c>
    </row>
    <row r="10" spans="1:6" x14ac:dyDescent="0.3">
      <c r="A10" t="s">
        <v>221</v>
      </c>
      <c r="B10" s="26"/>
      <c r="C10">
        <f>IF(B10&lt;Scoring!C138,Scoring!N138,0)</f>
        <v>1</v>
      </c>
      <c r="F10" t="str">
        <f>IF(C10&lt;Scoring!N138,"Ja","Nee")</f>
        <v>Nee</v>
      </c>
    </row>
    <row r="11" spans="1:6" x14ac:dyDescent="0.3">
      <c r="A11" s="5" t="s">
        <v>223</v>
      </c>
      <c r="B11" s="26"/>
      <c r="C11" s="5">
        <f>IF(B11=Scoring!C140,Scoring!C141,Scoring!D141)</f>
        <v>0</v>
      </c>
      <c r="D11" s="5"/>
      <c r="E11" s="5"/>
      <c r="F11" s="5" t="str">
        <f>IF(C11&lt;Scoring!N140,"Ja","Nee")</f>
        <v>Ja</v>
      </c>
    </row>
    <row r="12" spans="1:6" x14ac:dyDescent="0.3">
      <c r="A12" t="s">
        <v>225</v>
      </c>
      <c r="B12" t="e">
        <f>SUM(E4:E7)/(Algemeen!B16+Algemeen!B18)</f>
        <v>#DIV/0!</v>
      </c>
      <c r="C12" t="e">
        <f>IF(B12&gt;Scoring!E142,Scoring!F143,Scoring!D143)</f>
        <v>#DIV/0!</v>
      </c>
    </row>
    <row r="13" spans="1:6" x14ac:dyDescent="0.3">
      <c r="A13" s="5" t="s">
        <v>228</v>
      </c>
      <c r="B13" s="5" t="e">
        <f>SUM(E4:E7)/(Algemeen!B17+Algemeen!B18)</f>
        <v>#DIV/0!</v>
      </c>
      <c r="C13" s="5"/>
      <c r="D13" s="5"/>
      <c r="E13" s="5"/>
      <c r="F13" s="5"/>
    </row>
    <row r="14" spans="1:6" hidden="1" x14ac:dyDescent="0.3">
      <c r="B14" t="s">
        <v>38</v>
      </c>
      <c r="C14" t="e">
        <f>IF(B2=Scoring!D125,0,SUM(C2:C13))</f>
        <v>#DIV/0!</v>
      </c>
    </row>
    <row r="15" spans="1:6" hidden="1" x14ac:dyDescent="0.3">
      <c r="C15" s="61" t="e">
        <f>C14/Scoring!N146</f>
        <v>#DIV/0!</v>
      </c>
    </row>
    <row r="17" spans="1:2" x14ac:dyDescent="0.3">
      <c r="A17" s="62"/>
    </row>
    <row r="22" spans="1:2" x14ac:dyDescent="0.3">
      <c r="A22" s="62"/>
    </row>
    <row r="27" spans="1:2" x14ac:dyDescent="0.3">
      <c r="B27" s="63"/>
    </row>
  </sheetData>
  <sheetProtection algorithmName="SHA-512" hashValue="4WKojJxLnNhleWDRnsT/w4DvDsU/rpCxexc2PfBcB2N/jfAha8lzRSb0OPsjN74xATsSuL4qcYbBA+dfc07puA==" saltValue="Fq8jO1TR8GvYAFz03FFD/w==" spinCount="100000" sheet="1" objects="1" scenarios="1" selectLockedCells="1"/>
  <phoneticPr fontId="2" type="noConversion"/>
  <dataValidations count="2">
    <dataValidation type="decimal" allowBlank="1" showInputMessage="1" showErrorMessage="1" sqref="B9" xr:uid="{592DB786-47E2-48F5-B99A-5C30BFE051BC}">
      <formula1>0</formula1>
      <formula2>10000</formula2>
    </dataValidation>
    <dataValidation type="decimal" allowBlank="1" showInputMessage="1" showErrorMessage="1" sqref="B10" xr:uid="{F5F3564E-3EF8-444F-92D9-2E114D7EDB62}">
      <formula1>0</formula1>
      <formula2>2000</formula2>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8B69DD51-7BFC-4543-9D42-BDEC9DEAEF17}">
            <xm:f>Algemeen!$B$3="Vleesvee"</xm:f>
            <x14:dxf>
              <font>
                <color auto="1"/>
              </font>
              <fill>
                <patternFill patternType="solid">
                  <fgColor indexed="64"/>
                  <bgColor rgb="FFFFFF00"/>
                </patternFill>
              </fill>
              <border>
                <left/>
                <right/>
                <top/>
                <bottom/>
              </border>
            </x14:dxf>
          </x14:cfRule>
          <x14:cfRule type="expression" priority="3" id="{80BE69CB-C329-47A3-B792-648EBA9C75B0}">
            <xm:f>Algemeen!$B$3="Melkvee"</xm:f>
            <x14:dxf>
              <font>
                <color theme="9" tint="0.79998168889431442"/>
              </font>
              <fill>
                <patternFill patternType="solid">
                  <fgColor indexed="64"/>
                  <bgColor theme="9" tint="0.79998168889431442"/>
                </patternFill>
              </fill>
              <border>
                <left/>
                <right/>
                <top/>
                <bottom/>
              </border>
            </x14:dxf>
          </x14:cfRule>
          <xm:sqref>B7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BB7B906-7609-46F2-9BEA-0AF80DEFD296}">
          <x14:formula1>
            <xm:f>Lijsten!$A$2:$A$3</xm:f>
          </x14:formula1>
          <xm:sqref>B2</xm:sqref>
        </x14:dataValidation>
        <x14:dataValidation type="list" allowBlank="1" showInputMessage="1" showErrorMessage="1" xr:uid="{B2C5FC4B-168F-403C-BF4F-200438C4ED01}">
          <x14:formula1>
            <xm:f>Lijsten!$O$2:$O$22</xm:f>
          </x14:formula1>
          <xm:sqref>B8</xm:sqref>
        </x14:dataValidation>
        <x14:dataValidation type="list" allowBlank="1" showInputMessage="1" showErrorMessage="1" xr:uid="{E913DBBE-D949-4EF2-9A61-C17679644F19}">
          <x14:formula1>
            <xm:f>Scoring!$C$140:$D$140</xm:f>
          </x14:formula1>
          <xm:sqref>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8FA2A-D8F2-4A51-AB2B-84BD8977A279}">
  <sheetPr codeName="Blad8"/>
  <dimension ref="A1:F9"/>
  <sheetViews>
    <sheetView workbookViewId="0">
      <selection activeCell="B2" sqref="B2"/>
    </sheetView>
  </sheetViews>
  <sheetFormatPr defaultRowHeight="14.4" x14ac:dyDescent="0.3"/>
  <cols>
    <col min="1" max="1" width="90.109375" customWidth="1"/>
    <col min="3" max="4" width="0" hidden="1" customWidth="1"/>
    <col min="5" max="5" width="14.6640625" hidden="1" customWidth="1"/>
    <col min="6" max="6" width="15.109375" hidden="1" customWidth="1"/>
  </cols>
  <sheetData>
    <row r="1" spans="1:6" ht="15" thickBot="1" x14ac:dyDescent="0.35">
      <c r="A1" s="53" t="s">
        <v>1</v>
      </c>
      <c r="B1" s="53" t="s">
        <v>2</v>
      </c>
      <c r="C1" s="53" t="s">
        <v>112</v>
      </c>
      <c r="D1" s="53" t="s">
        <v>20</v>
      </c>
      <c r="E1" s="53" t="s">
        <v>39</v>
      </c>
      <c r="F1" s="53" t="s">
        <v>21</v>
      </c>
    </row>
    <row r="2" spans="1:6" x14ac:dyDescent="0.3">
      <c r="A2" t="s">
        <v>230</v>
      </c>
      <c r="B2" s="26"/>
      <c r="E2" s="4" t="s">
        <v>317</v>
      </c>
    </row>
    <row r="3" spans="1:6" x14ac:dyDescent="0.3">
      <c r="A3" s="5" t="s">
        <v>231</v>
      </c>
      <c r="B3" s="26"/>
      <c r="C3" s="5">
        <f>Scoring!C152</f>
        <v>1</v>
      </c>
      <c r="D3" s="5">
        <f>IF(B3=Scoring!C151,Scoring!C152,0)</f>
        <v>0</v>
      </c>
      <c r="E3" s="5"/>
      <c r="F3" s="5" t="str">
        <f>IF(D3&lt;Scoring!N151,"Ja","Nee")</f>
        <v>Ja</v>
      </c>
    </row>
    <row r="4" spans="1:6" x14ac:dyDescent="0.3">
      <c r="A4" t="s">
        <v>232</v>
      </c>
      <c r="B4" s="26"/>
    </row>
    <row r="5" spans="1:6" x14ac:dyDescent="0.3">
      <c r="A5" s="5" t="s">
        <v>234</v>
      </c>
      <c r="B5" s="26"/>
      <c r="C5" s="5">
        <f>Scoring!C156</f>
        <v>2</v>
      </c>
      <c r="D5" s="5">
        <f>Scoring!C156</f>
        <v>2</v>
      </c>
      <c r="E5" s="5"/>
      <c r="F5" s="5" t="str">
        <f>IF(D5&lt;Scoring!N153,"Ja","Nee")</f>
        <v>Nee</v>
      </c>
    </row>
    <row r="6" spans="1:6" x14ac:dyDescent="0.3">
      <c r="A6" t="s">
        <v>318</v>
      </c>
      <c r="B6" s="26"/>
      <c r="D6">
        <f>IF(B6&lt;Scoring!C157,Scoring!C158,IF(B6&lt;Scoring!D157,Scoring!D158,IF(B6&lt;Scoring!E157,Scoring!E158,IF(B6&lt;Scoring!F157,Scoring!F158,Scoring!G158))))</f>
        <v>1</v>
      </c>
      <c r="F6" t="str">
        <f>IF(D6&lt;Scoring!N157,"Ja","Nee")</f>
        <v>Nee</v>
      </c>
    </row>
    <row r="7" spans="1:6" x14ac:dyDescent="0.3">
      <c r="A7" s="5" t="s">
        <v>319</v>
      </c>
      <c r="B7" s="26"/>
      <c r="C7" s="5"/>
      <c r="D7" s="5">
        <f>IF(B7&lt;Scoring!D159,Scoring!C160,IF(B7&lt;Scoring!E159,Scoring!D160,IF(B7&lt;Scoring!F159,Scoring!F160,Scoring!G160)))</f>
        <v>1</v>
      </c>
      <c r="E7" s="5"/>
      <c r="F7" s="5" t="str">
        <f>IF(D7&lt;Scoring!N159,"Ja","Nee")</f>
        <v>Nee</v>
      </c>
    </row>
    <row r="8" spans="1:6" hidden="1" x14ac:dyDescent="0.3">
      <c r="B8" t="s">
        <v>38</v>
      </c>
      <c r="C8">
        <f>SUM(C2:C5)</f>
        <v>3</v>
      </c>
      <c r="D8">
        <f>SUM(D2:D7)</f>
        <v>4</v>
      </c>
    </row>
    <row r="9" spans="1:6" hidden="1" x14ac:dyDescent="0.3">
      <c r="D9" s="61">
        <f>D8/Scoring!N161</f>
        <v>0.8</v>
      </c>
    </row>
  </sheetData>
  <sheetProtection algorithmName="SHA-512" hashValue="3mPGElX9XxfLPUDadqg4wZXUWOyGl/uR7pms6YPb0u2bSzD58r0ZiBGxtsM6FhvoEdMJpge0ANM5K49IGHJkEQ==" saltValue="7cCud/ghk2ltnvPhkEfabQ==" spinCount="100000" sheet="1" objects="1" scenarios="1" selectLockedCells="1"/>
  <dataValidations count="3">
    <dataValidation type="decimal" operator="greaterThan" allowBlank="1" showInputMessage="1" showErrorMessage="1" sqref="B2" xr:uid="{9849252F-E2C0-4411-8CB3-35855E5535CC}">
      <formula1>0</formula1>
    </dataValidation>
    <dataValidation type="decimal" allowBlank="1" showInputMessage="1" showErrorMessage="1" sqref="B6" xr:uid="{0D6AC4FD-A158-4D08-8D5F-8238B78A48D1}">
      <formula1>0</formula1>
      <formula2>100</formula2>
    </dataValidation>
    <dataValidation type="decimal" allowBlank="1" showInputMessage="1" showErrorMessage="1" sqref="B7" xr:uid="{C5EF3646-5B00-4EEE-B885-A7C034829972}">
      <formula1>0</formula1>
      <formula2>250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73F32DB-9965-4586-B0CE-A49DFCBD3A99}">
          <x14:formula1>
            <xm:f>Lijsten!$A$2:$A$3</xm:f>
          </x14:formula1>
          <xm:sqref>B3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3677D-0407-4E30-85D5-ED82FEA64975}">
  <sheetPr codeName="Blad9"/>
  <dimension ref="A1:E18"/>
  <sheetViews>
    <sheetView workbookViewId="0">
      <selection activeCell="B2" sqref="B2"/>
    </sheetView>
  </sheetViews>
  <sheetFormatPr defaultRowHeight="14.4" x14ac:dyDescent="0.3"/>
  <cols>
    <col min="1" max="1" width="113.33203125" customWidth="1"/>
    <col min="2" max="2" width="11.109375" customWidth="1"/>
    <col min="3" max="3" width="0" hidden="1" customWidth="1"/>
    <col min="4" max="4" width="13.88671875" hidden="1" customWidth="1"/>
    <col min="5" max="5" width="12.88671875" hidden="1" customWidth="1"/>
  </cols>
  <sheetData>
    <row r="1" spans="1:5" ht="15" thickBot="1" x14ac:dyDescent="0.35">
      <c r="A1" s="53" t="s">
        <v>1</v>
      </c>
      <c r="B1" s="53" t="s">
        <v>2</v>
      </c>
      <c r="C1" s="53" t="s">
        <v>20</v>
      </c>
      <c r="D1" s="53" t="s">
        <v>39</v>
      </c>
      <c r="E1" s="53" t="s">
        <v>21</v>
      </c>
    </row>
    <row r="2" spans="1:5" x14ac:dyDescent="0.3">
      <c r="A2" t="s">
        <v>241</v>
      </c>
      <c r="B2" s="26"/>
      <c r="C2" t="e">
        <f>HLOOKUP(B2,Scoring!C164:D165,2,FALSE)</f>
        <v>#N/A</v>
      </c>
      <c r="E2" t="e">
        <f>IF(C2&lt;Scoring!N164,"Ja","Nee")</f>
        <v>#N/A</v>
      </c>
    </row>
    <row r="3" spans="1:5" x14ac:dyDescent="0.3">
      <c r="A3" s="5" t="s">
        <v>243</v>
      </c>
      <c r="B3" s="26"/>
      <c r="C3" s="5" t="e">
        <f>HLOOKUP(B3,Scoring!C166:D167,2,FALSE)</f>
        <v>#N/A</v>
      </c>
      <c r="D3" s="5"/>
      <c r="E3" s="5" t="e">
        <f>IF(C3&lt;Scoring!N166,"Ja","Nee")</f>
        <v>#N/A</v>
      </c>
    </row>
    <row r="4" spans="1:5" x14ac:dyDescent="0.3">
      <c r="A4" t="s">
        <v>245</v>
      </c>
      <c r="B4" s="26"/>
      <c r="C4" t="e">
        <f>HLOOKUP(B4,Scoring!C168:D169,2,FALSE)</f>
        <v>#N/A</v>
      </c>
      <c r="E4" t="e">
        <f>IF(C4&lt;Scoring!N168,"Ja","Nee")</f>
        <v>#N/A</v>
      </c>
    </row>
    <row r="5" spans="1:5" x14ac:dyDescent="0.3">
      <c r="A5" s="5" t="s">
        <v>247</v>
      </c>
      <c r="B5" s="26"/>
      <c r="C5" s="5" t="e">
        <f>HLOOKUP(B5,Scoring!C170:D171,2,FALSE)</f>
        <v>#N/A</v>
      </c>
      <c r="D5" s="5"/>
      <c r="E5" s="5" t="e">
        <f>IF(C5&lt;Scoring!N170,"Ja","Nee")</f>
        <v>#N/A</v>
      </c>
    </row>
    <row r="6" spans="1:5" x14ac:dyDescent="0.3">
      <c r="A6" t="s">
        <v>428</v>
      </c>
      <c r="B6" s="26"/>
      <c r="C6" t="e">
        <f>HLOOKUP(B6,Scoring!C172:D173,2,FALSE)</f>
        <v>#N/A</v>
      </c>
      <c r="E6" t="e">
        <f>IF(C6&lt;Scoring!N172,"Ja","Nee")</f>
        <v>#N/A</v>
      </c>
    </row>
    <row r="7" spans="1:5" x14ac:dyDescent="0.3">
      <c r="A7" s="5" t="s">
        <v>250</v>
      </c>
      <c r="B7" s="26"/>
      <c r="C7" s="5" t="e">
        <f>HLOOKUP(B7,Scoring!C174:D175,2,FALSE)</f>
        <v>#N/A</v>
      </c>
      <c r="D7" s="5"/>
      <c r="E7" s="5" t="e">
        <f>IF(C7&lt;Scoring!N174,"Ja","Nee")</f>
        <v>#N/A</v>
      </c>
    </row>
    <row r="8" spans="1:5" x14ac:dyDescent="0.3">
      <c r="A8" t="s">
        <v>252</v>
      </c>
      <c r="B8" s="26"/>
      <c r="C8" t="e">
        <f>HLOOKUP(B8,Scoring!C176:D177,2,FALSE)</f>
        <v>#N/A</v>
      </c>
      <c r="E8" t="e">
        <f>IF(C8&lt;Scoring!N176,"Ja","Nee")</f>
        <v>#N/A</v>
      </c>
    </row>
    <row r="9" spans="1:5" x14ac:dyDescent="0.3">
      <c r="A9" s="5" t="s">
        <v>253</v>
      </c>
      <c r="B9" s="26"/>
      <c r="C9" s="5" t="e">
        <f>HLOOKUP(B9,Scoring!C178:D179,2,FALSE)</f>
        <v>#N/A</v>
      </c>
      <c r="D9" s="5"/>
      <c r="E9" s="5" t="e">
        <f>IF(C9&lt;Scoring!N178,"Ja","Nee")</f>
        <v>#N/A</v>
      </c>
    </row>
    <row r="10" spans="1:5" x14ac:dyDescent="0.3">
      <c r="A10" t="s">
        <v>255</v>
      </c>
      <c r="B10" s="26"/>
      <c r="C10" t="e">
        <f>HLOOKUP(B10,Scoring!C180:D181,2,FALSE)</f>
        <v>#N/A</v>
      </c>
      <c r="E10" t="e">
        <f>IF(C10&lt;Scoring!N180,"Ja","Nee")</f>
        <v>#N/A</v>
      </c>
    </row>
    <row r="11" spans="1:5" x14ac:dyDescent="0.3">
      <c r="A11" s="5" t="s">
        <v>257</v>
      </c>
      <c r="B11" s="26"/>
      <c r="C11" s="5" t="e">
        <f>HLOOKUP(B11,Scoring!C182:H183,2,FALSE)</f>
        <v>#N/A</v>
      </c>
      <c r="D11" s="5"/>
      <c r="E11" s="5" t="e">
        <f>IF(C11&lt;Scoring!N182,"Ja","Nee")</f>
        <v>#N/A</v>
      </c>
    </row>
    <row r="12" spans="1:5" x14ac:dyDescent="0.3">
      <c r="A12" t="s">
        <v>369</v>
      </c>
      <c r="B12" s="26"/>
      <c r="C12" t="e">
        <f>HLOOKUP(B12,Scoring!C184:D185,2,FALSE)</f>
        <v>#N/A</v>
      </c>
      <c r="E12" t="e">
        <f>IF(C12&lt;Scoring!N184,"Ja","Nee")</f>
        <v>#N/A</v>
      </c>
    </row>
    <row r="13" spans="1:5" x14ac:dyDescent="0.3">
      <c r="A13" s="5" t="s">
        <v>268</v>
      </c>
      <c r="B13" s="35"/>
      <c r="C13" s="5" t="e">
        <f>HLOOKUP(B13,Scoring!C186:D187,2,FALSE)</f>
        <v>#N/A</v>
      </c>
      <c r="D13" s="5" t="s">
        <v>320</v>
      </c>
      <c r="E13" s="5" t="e">
        <f>IF(C13&lt;Scoring!N186,"Ja","Nee")</f>
        <v>#N/A</v>
      </c>
    </row>
    <row r="14" spans="1:5" x14ac:dyDescent="0.3">
      <c r="A14" t="s">
        <v>270</v>
      </c>
      <c r="B14" s="35"/>
      <c r="C14" t="e">
        <f>HLOOKUP(B14,Scoring!C188:D189,2,FALSE)</f>
        <v>#N/A</v>
      </c>
      <c r="E14" t="e">
        <f>IF(C14&lt;Scoring!N188,"Ja","Nee")</f>
        <v>#N/A</v>
      </c>
    </row>
    <row r="15" spans="1:5" x14ac:dyDescent="0.3">
      <c r="A15" s="5" t="s">
        <v>271</v>
      </c>
      <c r="B15" s="35"/>
      <c r="C15" s="5" t="e">
        <f>HLOOKUP(B15,Scoring!C190:I191,2,FALSE)</f>
        <v>#N/A</v>
      </c>
      <c r="D15" s="5"/>
      <c r="E15" s="5" t="e">
        <f>IF(C15&lt;Scoring!N190,"Ja","Nee")</f>
        <v>#N/A</v>
      </c>
    </row>
    <row r="16" spans="1:5" x14ac:dyDescent="0.3">
      <c r="A16" t="s">
        <v>273</v>
      </c>
      <c r="B16" s="35"/>
      <c r="C16" t="e">
        <f>HLOOKUP(B16,Scoring!C192:D193,2,FALSE)</f>
        <v>#N/A</v>
      </c>
      <c r="E16" t="e">
        <f>IF(C16&lt;Scoring!N192,"Ja","Nee")</f>
        <v>#N/A</v>
      </c>
    </row>
    <row r="17" spans="2:3" hidden="1" x14ac:dyDescent="0.3">
      <c r="B17" t="s">
        <v>38</v>
      </c>
      <c r="C17" t="e">
        <f>SUM(C2:C16)</f>
        <v>#N/A</v>
      </c>
    </row>
    <row r="18" spans="2:3" hidden="1" x14ac:dyDescent="0.3">
      <c r="C18" s="61" t="e">
        <f>C17/Scoring!N194</f>
        <v>#N/A</v>
      </c>
    </row>
  </sheetData>
  <sheetProtection algorithmName="SHA-512" hashValue="m8U1vkekTxYKVUER4TdGqvULNB23TJ0FUhd59fVh2Ne0BZiq7zntRE+LHjWzbr+I19hoLyVdsviVLRRdYOxU3Q==" saltValue="hJWgoGy41Jt8hZov/HU/YA=="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operator="greaterThan" allowBlank="1" showInputMessage="1" showErrorMessage="1" xr:uid="{BA1F81D5-8D28-45CD-9DD9-8F18E1993C6C}">
          <x14:formula1>
            <xm:f>Lijsten!$A$2:$A$3</xm:f>
          </x14:formula1>
          <xm:sqref>B12:B14 B16</xm:sqref>
        </x14:dataValidation>
        <x14:dataValidation type="list" operator="greaterThan" allowBlank="1" showInputMessage="1" showErrorMessage="1" xr:uid="{B3629DFC-F7B6-44AF-A9DB-8E3E73B47E4A}">
          <x14:formula1>
            <xm:f>Lijsten!$AB$2:$AB$7</xm:f>
          </x14:formula1>
          <xm:sqref>B11</xm:sqref>
        </x14:dataValidation>
        <x14:dataValidation type="list" allowBlank="1" showInputMessage="1" showErrorMessage="1" xr:uid="{DF2135AC-99D9-48A6-A713-11959FDBB76D}">
          <x14:formula1>
            <xm:f>Lijsten!$A$2:$A$3</xm:f>
          </x14:formula1>
          <xm:sqref>B2:B10</xm:sqref>
        </x14:dataValidation>
        <x14:dataValidation type="list" operator="greaterThan" allowBlank="1" showInputMessage="1" showErrorMessage="1" xr:uid="{D246131F-B3E6-422D-8642-056C68E6819F}">
          <x14:formula1>
            <xm:f>Scoring!$C$190:$I$190</xm:f>
          </x14:formula1>
          <xm:sqref>B15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6B473-CF98-48BD-B50B-6109CE816A1D}">
  <sheetPr codeName="Blad10"/>
  <dimension ref="A1:D20"/>
  <sheetViews>
    <sheetView workbookViewId="0">
      <selection activeCell="B2" sqref="B2"/>
    </sheetView>
  </sheetViews>
  <sheetFormatPr defaultRowHeight="14.4" x14ac:dyDescent="0.3"/>
  <cols>
    <col min="1" max="1" width="115.21875" customWidth="1"/>
    <col min="2" max="2" width="25.88671875" customWidth="1"/>
    <col min="3" max="3" width="16.109375" hidden="1" customWidth="1"/>
    <col min="4" max="4" width="13.33203125" hidden="1" customWidth="1"/>
  </cols>
  <sheetData>
    <row r="1" spans="1:4" ht="15" thickBot="1" x14ac:dyDescent="0.35">
      <c r="A1" s="53" t="s">
        <v>1</v>
      </c>
      <c r="B1" s="53" t="s">
        <v>2</v>
      </c>
      <c r="C1" s="53" t="s">
        <v>20</v>
      </c>
      <c r="D1" s="53" t="s">
        <v>21</v>
      </c>
    </row>
    <row r="2" spans="1:4" x14ac:dyDescent="0.3">
      <c r="A2" t="s">
        <v>275</v>
      </c>
      <c r="B2" s="26"/>
      <c r="C2" t="e">
        <f>HLOOKUP(B2,Scoring!C197:D198,2,FALSE)</f>
        <v>#N/A</v>
      </c>
      <c r="D2" t="e">
        <f>IF(C2&lt;Scoring!N197,"Ja","Nee")</f>
        <v>#N/A</v>
      </c>
    </row>
    <row r="3" spans="1:4" x14ac:dyDescent="0.3">
      <c r="A3" s="5" t="s">
        <v>277</v>
      </c>
      <c r="B3" s="26"/>
      <c r="C3" s="5" t="e">
        <f>HLOOKUP(B3,Scoring!C199:D200,2,FALSE)</f>
        <v>#N/A</v>
      </c>
      <c r="D3" s="5" t="e">
        <f>IF(C3&lt;Scoring!N199,"Ja","Nee")</f>
        <v>#N/A</v>
      </c>
    </row>
    <row r="4" spans="1:4" x14ac:dyDescent="0.3">
      <c r="A4" t="s">
        <v>279</v>
      </c>
      <c r="B4" s="26"/>
      <c r="C4" t="e">
        <f>HLOOKUP(B4,Scoring!C201:D202,2,FALSE)</f>
        <v>#N/A</v>
      </c>
      <c r="D4" t="e">
        <f>IF(C4&lt;Scoring!N201,"Ja","Nee")</f>
        <v>#N/A</v>
      </c>
    </row>
    <row r="5" spans="1:4" x14ac:dyDescent="0.3">
      <c r="A5" s="5" t="s">
        <v>281</v>
      </c>
      <c r="B5" s="26"/>
      <c r="C5" s="5" t="e">
        <f>HLOOKUP(B5,Scoring!C203:D204,2,FALSE)</f>
        <v>#N/A</v>
      </c>
      <c r="D5" s="5" t="e">
        <f>IF(C5&lt;Scoring!N203,"Ja","Nee")</f>
        <v>#N/A</v>
      </c>
    </row>
    <row r="6" spans="1:4" x14ac:dyDescent="0.3">
      <c r="A6" t="s">
        <v>283</v>
      </c>
      <c r="B6" s="26"/>
      <c r="C6" t="e">
        <f>HLOOKUP(B6,Scoring!C205:M206,2,FALSE)</f>
        <v>#N/A</v>
      </c>
      <c r="D6" t="e">
        <f>IF(C6&lt;Scoring!N205,"Ja","Nee")</f>
        <v>#N/A</v>
      </c>
    </row>
    <row r="7" spans="1:4" x14ac:dyDescent="0.3">
      <c r="A7" s="5" t="s">
        <v>284</v>
      </c>
      <c r="B7" s="26"/>
      <c r="C7" s="5">
        <f>IF(B7&gt;Scoring!D207,Scoring!C208,IF(B7&gt;Scoring!E207,Scoring!D208,IF(B7&gt;Scoring!F207,Scoring!E208,IF(B7&gt;Scoring!G207,Scoring!F208,IF(B7&lt;Scoring!G207,Scoring!G208,0)))))</f>
        <v>0</v>
      </c>
      <c r="D7" s="5" t="str">
        <f>IF(C7&lt;Scoring!N207,"Ja","Nee")</f>
        <v>Ja</v>
      </c>
    </row>
    <row r="8" spans="1:4" x14ac:dyDescent="0.3">
      <c r="A8" t="s">
        <v>386</v>
      </c>
      <c r="B8" s="26"/>
      <c r="C8" t="e">
        <f>HLOOKUP(B8,Scoring!C209:D210,2,FALSE)</f>
        <v>#N/A</v>
      </c>
      <c r="D8" t="e">
        <f>IF(C8&lt;Scoring!N209,"Ja","Nee")</f>
        <v>#N/A</v>
      </c>
    </row>
    <row r="9" spans="1:4" x14ac:dyDescent="0.3">
      <c r="A9" s="5" t="s">
        <v>288</v>
      </c>
      <c r="B9" s="26"/>
      <c r="C9" s="5" t="e">
        <f>HLOOKUP(B9,Scoring!C211:D212,2,FALSE)</f>
        <v>#N/A</v>
      </c>
      <c r="D9" s="5" t="e">
        <f>IF(C9&lt;Scoring!N211,"Ja","Nee")</f>
        <v>#N/A</v>
      </c>
    </row>
    <row r="10" spans="1:4" x14ac:dyDescent="0.3">
      <c r="A10" t="s">
        <v>290</v>
      </c>
      <c r="B10" s="26"/>
      <c r="C10" t="e">
        <f>HLOOKUP(B10,Scoring!C213:M214,2,FALSE)</f>
        <v>#N/A</v>
      </c>
      <c r="D10" t="e">
        <f>IF(C10&lt;Scoring!N213,"Ja","Nee")</f>
        <v>#N/A</v>
      </c>
    </row>
    <row r="11" spans="1:4" hidden="1" x14ac:dyDescent="0.3">
      <c r="B11" t="s">
        <v>38</v>
      </c>
      <c r="C11" t="e">
        <f>SUM(C2:C10)</f>
        <v>#N/A</v>
      </c>
    </row>
    <row r="12" spans="1:4" hidden="1" x14ac:dyDescent="0.3">
      <c r="C12" s="61" t="e">
        <f>C11/Scoring!N215</f>
        <v>#N/A</v>
      </c>
    </row>
    <row r="14" spans="1:4" x14ac:dyDescent="0.3">
      <c r="A14" s="2"/>
    </row>
    <row r="15" spans="1:4" x14ac:dyDescent="0.3">
      <c r="A15" s="2"/>
    </row>
    <row r="16" spans="1:4" x14ac:dyDescent="0.3">
      <c r="A16" s="2"/>
    </row>
    <row r="17" spans="1:1" x14ac:dyDescent="0.3">
      <c r="A17" s="2"/>
    </row>
    <row r="19" spans="1:1" x14ac:dyDescent="0.3">
      <c r="A19" s="37"/>
    </row>
    <row r="20" spans="1:1" x14ac:dyDescent="0.3">
      <c r="A20" s="2"/>
    </row>
  </sheetData>
  <sheetProtection algorithmName="SHA-512" hashValue="wph5jiOggc68jByLlM1CxlnGLKP7+WpnS01qHm6DFEJ8ieyVL/r/ITp5M8qBAYPbso/9g+WogxVf/SwVRQIUoA==" saltValue="MGqxd/ASXHqTxXRs8E9uqw==" spinCount="100000" sheet="1" objects="1" scenarios="1" selectLockedCells="1"/>
  <dataValidations count="1">
    <dataValidation type="decimal" allowBlank="1" showInputMessage="1" showErrorMessage="1" sqref="B7" xr:uid="{9A4B8644-274F-4FF4-AB00-76383996B440}">
      <formula1>0</formula1>
      <formula2>100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D435168F-9151-49A4-8113-A11E84E63042}">
          <x14:formula1>
            <xm:f>Scoring!$C$197:$D$197</xm:f>
          </x14:formula1>
          <xm:sqref>B2</xm:sqref>
        </x14:dataValidation>
        <x14:dataValidation type="list" allowBlank="1" showInputMessage="1" showErrorMessage="1" xr:uid="{5713DBED-E081-47B3-9616-27E03F72AE89}">
          <x14:formula1>
            <xm:f>Scoring!$C$199:$D$199</xm:f>
          </x14:formula1>
          <xm:sqref>B3</xm:sqref>
        </x14:dataValidation>
        <x14:dataValidation type="list" allowBlank="1" showInputMessage="1" showErrorMessage="1" xr:uid="{4A7032FC-00BD-4FA7-AB43-A799145A9FEA}">
          <x14:formula1>
            <xm:f>Scoring!$C$201:$D$201</xm:f>
          </x14:formula1>
          <xm:sqref>B4</xm:sqref>
        </x14:dataValidation>
        <x14:dataValidation type="list" allowBlank="1" showInputMessage="1" showErrorMessage="1" xr:uid="{104BF015-9A41-4738-BCA3-FF6E4DA46596}">
          <x14:formula1>
            <xm:f>Scoring!$C$203:$D$203</xm:f>
          </x14:formula1>
          <xm:sqref>B5</xm:sqref>
        </x14:dataValidation>
        <x14:dataValidation type="list" allowBlank="1" showInputMessage="1" showErrorMessage="1" xr:uid="{A7667924-2D5E-4529-B236-A147D033B8FE}">
          <x14:formula1>
            <xm:f>Scoring!$C$205:$D$205</xm:f>
          </x14:formula1>
          <xm:sqref>B6 B8:B9</xm:sqref>
        </x14:dataValidation>
        <x14:dataValidation type="list" allowBlank="1" showInputMessage="1" showErrorMessage="1" xr:uid="{89B632A1-AF89-49C5-894C-B96F2FAD8BE4}">
          <x14:formula1>
            <xm:f>Scoring!$C$213:$G$213</xm:f>
          </x14:formula1>
          <xm:sqref>B10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449E2-9F54-4852-A3D3-207CEE17D051}">
  <sheetPr codeName="Blad11"/>
  <dimension ref="A1:D11"/>
  <sheetViews>
    <sheetView workbookViewId="0">
      <selection activeCell="A22" sqref="A22"/>
    </sheetView>
  </sheetViews>
  <sheetFormatPr defaultRowHeight="14.4" x14ac:dyDescent="0.3"/>
  <cols>
    <col min="1" max="1" width="77.21875" customWidth="1"/>
    <col min="2" max="2" width="28" customWidth="1"/>
    <col min="3" max="3" width="0" hidden="1" customWidth="1"/>
    <col min="4" max="4" width="12.5546875" hidden="1" customWidth="1"/>
  </cols>
  <sheetData>
    <row r="1" spans="1:4" ht="15" thickBot="1" x14ac:dyDescent="0.35">
      <c r="A1" s="53" t="s">
        <v>1</v>
      </c>
      <c r="B1" s="53" t="s">
        <v>2</v>
      </c>
      <c r="C1" s="53" t="s">
        <v>20</v>
      </c>
      <c r="D1" s="53" t="s">
        <v>21</v>
      </c>
    </row>
    <row r="2" spans="1:4" x14ac:dyDescent="0.3">
      <c r="A2" t="s">
        <v>322</v>
      </c>
      <c r="B2" s="26"/>
    </row>
    <row r="3" spans="1:4" x14ac:dyDescent="0.3">
      <c r="A3" s="2" t="s">
        <v>298</v>
      </c>
      <c r="B3" s="26"/>
      <c r="C3">
        <f>IF(B2=Scoring!C218,HLOOKUP(B3,Scoring!C220:M221,2,FALSE),0)</f>
        <v>0</v>
      </c>
      <c r="D3" t="str">
        <f>IF(C3&lt;Scoring!N220,"Ja","Nee")</f>
        <v>Ja</v>
      </c>
    </row>
    <row r="4" spans="1:4" x14ac:dyDescent="0.3">
      <c r="A4" s="5" t="s">
        <v>304</v>
      </c>
      <c r="B4" s="26"/>
      <c r="C4" s="5"/>
      <c r="D4" s="5"/>
    </row>
    <row r="5" spans="1:4" x14ac:dyDescent="0.3">
      <c r="A5" s="59" t="s">
        <v>305</v>
      </c>
      <c r="B5" s="26"/>
      <c r="C5" s="5" t="e">
        <f>IF(B4=Scoring!D222,0,HLOOKUP(B5,Scoring!C224:D225,2,FALSE))</f>
        <v>#N/A</v>
      </c>
      <c r="D5" s="5" t="e">
        <f>IF(C5&lt;Scoring!N224,"Ja","Nee")</f>
        <v>#N/A</v>
      </c>
    </row>
    <row r="6" spans="1:4" x14ac:dyDescent="0.3">
      <c r="A6" t="s">
        <v>307</v>
      </c>
      <c r="B6" s="26"/>
    </row>
    <row r="7" spans="1:4" x14ac:dyDescent="0.3">
      <c r="A7" s="2" t="s">
        <v>308</v>
      </c>
      <c r="B7" s="26"/>
      <c r="C7" t="e">
        <f>IF(B6=Scoring!D226,Scoring!D229,HLOOKUP(B7,Scoring!C228:D229,2,FALSE))</f>
        <v>#N/A</v>
      </c>
      <c r="D7" t="e">
        <f>IF(C7&lt;Scoring!N228,"Ja","Nee")</f>
        <v>#N/A</v>
      </c>
    </row>
    <row r="8" spans="1:4" x14ac:dyDescent="0.3">
      <c r="A8" s="60" t="s">
        <v>388</v>
      </c>
      <c r="B8" s="26"/>
      <c r="C8" s="5" t="e">
        <f>HLOOKUP(B8,Scoring!C230:D231,2,FALSE)</f>
        <v>#N/A</v>
      </c>
      <c r="D8" s="5" t="e">
        <f>IF(C8&lt;Scoring!N230,"Ja","Nee")</f>
        <v>#N/A</v>
      </c>
    </row>
    <row r="9" spans="1:4" x14ac:dyDescent="0.3">
      <c r="A9" t="s">
        <v>310</v>
      </c>
      <c r="B9" s="26"/>
      <c r="C9" t="e">
        <f>HLOOKUP(B9,Scoring!C232:D233,2,FALSE)</f>
        <v>#N/A</v>
      </c>
      <c r="D9" t="e">
        <f>IF(C9&lt;Scoring!N232,"Ja","Nee")</f>
        <v>#N/A</v>
      </c>
    </row>
    <row r="10" spans="1:4" hidden="1" x14ac:dyDescent="0.3">
      <c r="B10" t="s">
        <v>38</v>
      </c>
      <c r="C10" t="e">
        <f>SUM(C2:C9)</f>
        <v>#N/A</v>
      </c>
    </row>
    <row r="11" spans="1:4" hidden="1" x14ac:dyDescent="0.3">
      <c r="C11" s="61" t="e">
        <f>C10/Scoring!N234</f>
        <v>#N/A</v>
      </c>
    </row>
  </sheetData>
  <sheetProtection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FB594793-F634-442F-B28F-20B5E29CE51C}">
          <x14:formula1>
            <xm:f>Lijsten!$A$2:$A$3</xm:f>
          </x14:formula1>
          <xm:sqref>B2 B4:B9</xm:sqref>
        </x14:dataValidation>
        <x14:dataValidation type="list" allowBlank="1" showInputMessage="1" showErrorMessage="1" xr:uid="{5ED7C212-E9F6-42E4-AC70-EB93E1E827AF}">
          <x14:formula1>
            <xm:f>Scoring!$C$220:$F$220</xm:f>
          </x14:formula1>
          <xm:sqref>B3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7CDA4-2F08-4DF7-B7A2-D9F00423C65E}">
  <sheetPr codeName="Blad2">
    <pageSetUpPr fitToPage="1"/>
  </sheetPr>
  <dimension ref="A1:AJ329"/>
  <sheetViews>
    <sheetView zoomScale="40" zoomScaleNormal="40" workbookViewId="0">
      <selection activeCell="A130" sqref="A130"/>
    </sheetView>
  </sheetViews>
  <sheetFormatPr defaultRowHeight="14.4" x14ac:dyDescent="0.3"/>
  <cols>
    <col min="1" max="1" width="29" customWidth="1"/>
    <col min="3" max="3" width="10.88671875" customWidth="1"/>
    <col min="6" max="6" width="13.5546875" customWidth="1"/>
    <col min="12" max="12" width="16.44140625" bestFit="1" customWidth="1"/>
    <col min="22" max="22" width="13.33203125" bestFit="1" customWidth="1"/>
    <col min="23" max="26" width="13.33203125" customWidth="1"/>
    <col min="27" max="27" width="17.33203125" style="45" customWidth="1"/>
    <col min="28" max="28" width="30.109375" style="45" customWidth="1"/>
    <col min="29" max="29" width="14.33203125" style="45" customWidth="1"/>
    <col min="30" max="30" width="12.6640625" style="45" bestFit="1" customWidth="1"/>
    <col min="31" max="31" width="8.88671875" style="45"/>
    <col min="32" max="36" width="9.33203125" style="45" bestFit="1" customWidth="1"/>
  </cols>
  <sheetData>
    <row r="1" spans="1:31" ht="61.2" customHeight="1" x14ac:dyDescent="1.25">
      <c r="A1" s="110" t="s">
        <v>0</v>
      </c>
      <c r="B1" s="111"/>
      <c r="C1" s="111"/>
      <c r="D1" s="111"/>
      <c r="E1" s="111"/>
      <c r="F1" s="111"/>
      <c r="G1" s="111"/>
      <c r="H1" s="111"/>
      <c r="I1" s="111"/>
      <c r="J1" s="111"/>
      <c r="K1" s="111"/>
      <c r="L1" s="111"/>
      <c r="M1" s="111"/>
      <c r="N1" s="111"/>
      <c r="O1" s="111"/>
      <c r="P1" s="111"/>
      <c r="Q1" s="111"/>
      <c r="R1" s="111"/>
      <c r="S1" s="111"/>
      <c r="T1" s="111"/>
      <c r="U1" s="111"/>
      <c r="V1" s="111"/>
      <c r="W1" s="111"/>
      <c r="X1" s="111"/>
      <c r="Y1" s="111"/>
      <c r="Z1" s="112"/>
    </row>
    <row r="2" spans="1:31" x14ac:dyDescent="0.3">
      <c r="A2" s="64"/>
      <c r="B2" s="65"/>
      <c r="C2" s="65"/>
      <c r="D2" s="65"/>
      <c r="E2" s="65"/>
      <c r="F2" s="65"/>
      <c r="G2" s="65"/>
      <c r="H2" s="65"/>
      <c r="I2" s="65"/>
      <c r="J2" s="65"/>
      <c r="K2" s="65"/>
      <c r="L2" s="65"/>
      <c r="M2" s="65"/>
      <c r="N2" s="65"/>
      <c r="O2" s="65"/>
      <c r="P2" s="65"/>
      <c r="Q2" s="65"/>
      <c r="R2" s="65"/>
      <c r="S2" s="65"/>
      <c r="T2" s="65"/>
      <c r="U2" s="65"/>
      <c r="V2" s="65"/>
      <c r="W2" s="65"/>
      <c r="X2" s="65"/>
      <c r="Y2" s="65"/>
      <c r="Z2" s="66"/>
    </row>
    <row r="3" spans="1:31" x14ac:dyDescent="0.3">
      <c r="A3" s="64"/>
      <c r="B3" s="65"/>
      <c r="C3" s="65"/>
      <c r="D3" s="65"/>
      <c r="E3" s="65"/>
      <c r="F3" s="65"/>
      <c r="G3" s="65"/>
      <c r="H3" s="65"/>
      <c r="I3" s="65"/>
      <c r="J3" s="65"/>
      <c r="K3" s="65"/>
      <c r="L3" s="65"/>
      <c r="M3" s="65"/>
      <c r="N3" s="65"/>
      <c r="O3" s="65"/>
      <c r="P3" s="65"/>
      <c r="Q3" s="65"/>
      <c r="R3" s="65"/>
      <c r="S3" s="65"/>
      <c r="T3" s="65"/>
      <c r="U3" s="65"/>
      <c r="V3" s="65"/>
      <c r="W3" s="65"/>
      <c r="X3" s="65"/>
      <c r="Y3" s="65"/>
      <c r="Z3" s="66"/>
    </row>
    <row r="4" spans="1:31" x14ac:dyDescent="0.3">
      <c r="A4" s="64"/>
      <c r="B4" s="65"/>
      <c r="C4" s="65"/>
      <c r="D4" s="65"/>
      <c r="E4" s="65"/>
      <c r="F4" s="65"/>
      <c r="G4" s="65"/>
      <c r="H4" s="65"/>
      <c r="I4" s="65"/>
      <c r="J4" s="65"/>
      <c r="K4" s="65"/>
      <c r="L4" s="65"/>
      <c r="M4" s="65"/>
      <c r="N4" s="65"/>
      <c r="O4" s="65"/>
      <c r="P4" s="65"/>
      <c r="Q4" s="65"/>
      <c r="R4" s="65"/>
      <c r="S4" s="65"/>
      <c r="T4" s="65"/>
      <c r="U4" s="65"/>
      <c r="V4" s="65"/>
      <c r="W4" s="65"/>
      <c r="X4" s="65"/>
      <c r="Y4" s="65"/>
      <c r="Z4" s="66"/>
    </row>
    <row r="5" spans="1:31" s="45" customFormat="1" x14ac:dyDescent="0.3">
      <c r="A5" s="67" t="s">
        <v>67</v>
      </c>
      <c r="B5" s="68"/>
      <c r="C5" s="68"/>
      <c r="D5" s="68"/>
      <c r="E5" s="68"/>
      <c r="F5" s="68"/>
      <c r="G5" s="68"/>
      <c r="H5" s="68"/>
      <c r="I5" s="68"/>
      <c r="J5" s="68"/>
      <c r="K5" s="68"/>
      <c r="L5" s="68"/>
      <c r="M5" s="68"/>
      <c r="N5" s="68"/>
      <c r="O5" s="68"/>
      <c r="P5" s="68"/>
      <c r="Q5" s="68"/>
      <c r="R5" s="68"/>
      <c r="S5" s="68"/>
      <c r="T5" s="68"/>
      <c r="U5" s="68"/>
      <c r="V5" s="68"/>
      <c r="W5" s="68"/>
      <c r="X5" s="68"/>
      <c r="Y5" s="68"/>
      <c r="Z5" s="69"/>
    </row>
    <row r="6" spans="1:31" s="45" customFormat="1" x14ac:dyDescent="0.3">
      <c r="A6" s="70" t="s">
        <v>68</v>
      </c>
      <c r="B6" s="68"/>
      <c r="C6" s="68"/>
      <c r="D6" s="68"/>
      <c r="E6" s="68"/>
      <c r="F6" s="68"/>
      <c r="G6" s="68"/>
      <c r="H6" s="68"/>
      <c r="I6" s="68"/>
      <c r="J6" s="68"/>
      <c r="K6" s="68"/>
      <c r="L6" s="68"/>
      <c r="M6" s="68"/>
      <c r="N6" s="68"/>
      <c r="O6" s="68"/>
      <c r="P6" s="68"/>
      <c r="Q6" s="68"/>
      <c r="R6" s="68"/>
      <c r="S6" s="68"/>
      <c r="T6" s="68"/>
      <c r="U6" s="68"/>
      <c r="V6" s="68"/>
      <c r="W6" s="68"/>
      <c r="X6" s="68"/>
      <c r="Y6" s="68"/>
      <c r="Z6" s="69"/>
    </row>
    <row r="7" spans="1:31" s="45" customFormat="1" x14ac:dyDescent="0.3">
      <c r="A7" s="70" t="s">
        <v>69</v>
      </c>
      <c r="B7" s="68" t="s">
        <v>70</v>
      </c>
      <c r="C7" s="68" t="s">
        <v>71</v>
      </c>
      <c r="D7" s="68" t="s">
        <v>72</v>
      </c>
      <c r="E7" s="68" t="s">
        <v>73</v>
      </c>
      <c r="F7" s="68" t="s">
        <v>74</v>
      </c>
      <c r="G7" s="68"/>
      <c r="H7" s="68"/>
      <c r="I7" s="68"/>
      <c r="J7" s="68"/>
      <c r="K7" s="68"/>
      <c r="L7" s="68"/>
      <c r="M7" s="68"/>
      <c r="N7" s="68"/>
      <c r="O7" s="68"/>
      <c r="P7" s="68"/>
      <c r="Q7" s="68"/>
      <c r="R7" s="68"/>
      <c r="S7" s="68"/>
      <c r="T7" s="68"/>
      <c r="U7" s="68"/>
      <c r="V7" s="68"/>
      <c r="W7" s="68"/>
      <c r="X7" s="68"/>
      <c r="Y7" s="68"/>
      <c r="Z7" s="69"/>
    </row>
    <row r="8" spans="1:31" s="45" customFormat="1" x14ac:dyDescent="0.3">
      <c r="A8" s="67">
        <f>Algemeen!B10</f>
        <v>0</v>
      </c>
      <c r="B8" s="68">
        <f>Algemeen!B11</f>
        <v>0</v>
      </c>
      <c r="C8" s="68">
        <f>Algemeen!B12</f>
        <v>0</v>
      </c>
      <c r="D8" s="68">
        <f>Algemeen!B13</f>
        <v>0</v>
      </c>
      <c r="E8" s="68">
        <f>Algemeen!B14</f>
        <v>0</v>
      </c>
      <c r="F8" s="68">
        <f>Algemeen!B19</f>
        <v>0</v>
      </c>
      <c r="G8" s="68"/>
      <c r="H8" s="68"/>
      <c r="I8" s="68"/>
      <c r="J8" s="68"/>
      <c r="K8" s="68"/>
      <c r="L8" s="68"/>
      <c r="M8" s="68"/>
      <c r="N8" s="68"/>
      <c r="O8" s="68"/>
      <c r="P8" s="68"/>
      <c r="Q8" s="68"/>
      <c r="R8" s="68"/>
      <c r="S8" s="68"/>
      <c r="T8" s="68"/>
      <c r="U8" s="68"/>
      <c r="V8" s="68"/>
      <c r="W8" s="68"/>
      <c r="X8" s="68"/>
      <c r="Y8" s="68"/>
      <c r="Z8" s="69"/>
    </row>
    <row r="9" spans="1:31" s="45" customFormat="1" x14ac:dyDescent="0.3">
      <c r="A9" s="67"/>
      <c r="B9" s="68"/>
      <c r="C9" s="68"/>
      <c r="D9" s="68"/>
      <c r="E9" s="68"/>
      <c r="F9" s="68"/>
      <c r="G9" s="68"/>
      <c r="H9" s="68"/>
      <c r="I9" s="68"/>
      <c r="J9" s="68"/>
      <c r="K9" s="68"/>
      <c r="L9" s="68"/>
      <c r="M9" s="68"/>
      <c r="N9" s="68"/>
      <c r="O9" s="68"/>
      <c r="P9" s="68"/>
      <c r="Q9" s="68"/>
      <c r="R9" s="68"/>
      <c r="S9" s="68"/>
      <c r="T9" s="68"/>
      <c r="U9" s="68"/>
      <c r="V9" s="68"/>
      <c r="W9" s="68"/>
      <c r="X9" s="68"/>
      <c r="Y9" s="68"/>
      <c r="Z9" s="69"/>
    </row>
    <row r="10" spans="1:31" s="45" customFormat="1" x14ac:dyDescent="0.3">
      <c r="A10" s="67" t="s">
        <v>75</v>
      </c>
      <c r="B10" s="68"/>
      <c r="C10" s="68"/>
      <c r="D10" s="68"/>
      <c r="E10" s="68"/>
      <c r="F10" s="68"/>
      <c r="G10" s="68"/>
      <c r="H10" s="68"/>
      <c r="I10" s="68"/>
      <c r="J10" s="68"/>
      <c r="K10" s="68"/>
      <c r="L10" s="68"/>
      <c r="M10" s="68"/>
      <c r="N10" s="68"/>
      <c r="O10" s="68"/>
      <c r="P10" s="68"/>
      <c r="Q10" s="68"/>
      <c r="R10" s="68"/>
      <c r="S10" s="68"/>
      <c r="T10" s="68"/>
      <c r="U10" s="68"/>
      <c r="V10" s="68"/>
      <c r="W10" s="68"/>
      <c r="X10" s="68"/>
      <c r="Y10" s="68"/>
      <c r="Z10" s="69"/>
      <c r="AA10" s="45" t="str">
        <f>B11</f>
        <v>Nutriëntenbeheer</v>
      </c>
      <c r="AB10" s="71" t="e">
        <f>B12</f>
        <v>#N/A</v>
      </c>
      <c r="AD10" s="45" t="str" cm="1">
        <f t="array" ref="AD10:AE17">_xlfn._xlws.SORT(AA10:AB17,2,1,FALSE)</f>
        <v>Zaai</v>
      </c>
      <c r="AE10" s="45">
        <v>0</v>
      </c>
    </row>
    <row r="11" spans="1:31" s="45" customFormat="1" x14ac:dyDescent="0.3">
      <c r="A11" s="67" t="s">
        <v>76</v>
      </c>
      <c r="B11" s="68" t="s">
        <v>395</v>
      </c>
      <c r="C11" s="68"/>
      <c r="D11" s="68" t="s">
        <v>77</v>
      </c>
      <c r="E11" s="68"/>
      <c r="F11" s="68" t="s">
        <v>396</v>
      </c>
      <c r="G11" s="68"/>
      <c r="H11" s="68" t="s">
        <v>78</v>
      </c>
      <c r="I11" s="68"/>
      <c r="J11" s="68" t="s">
        <v>397</v>
      </c>
      <c r="K11" s="68"/>
      <c r="L11" s="68" t="s">
        <v>79</v>
      </c>
      <c r="M11" s="68"/>
      <c r="N11" s="68" t="s">
        <v>80</v>
      </c>
      <c r="O11" s="68"/>
      <c r="P11" s="68" t="s">
        <v>81</v>
      </c>
      <c r="Q11" s="68"/>
      <c r="R11" s="68"/>
      <c r="S11" s="68" t="s">
        <v>82</v>
      </c>
      <c r="T11" s="68"/>
      <c r="U11" s="68"/>
      <c r="V11" s="68"/>
      <c r="W11" s="68"/>
      <c r="X11" s="68"/>
      <c r="Y11" s="68"/>
      <c r="Z11" s="69"/>
      <c r="AA11" s="45" t="str">
        <f>D11</f>
        <v>Kwaliteit graskuil</v>
      </c>
      <c r="AB11" s="71">
        <f>D12</f>
        <v>0.8</v>
      </c>
      <c r="AD11" s="45" t="str">
        <v>Kwaliteit graskuil</v>
      </c>
      <c r="AE11" s="45">
        <v>0.8</v>
      </c>
    </row>
    <row r="12" spans="1:31" s="45" customFormat="1" x14ac:dyDescent="0.3">
      <c r="A12" s="67" t="s">
        <v>83</v>
      </c>
      <c r="B12" s="72" t="e">
        <f>Nutriëntenbeheer!C29</f>
        <v>#N/A</v>
      </c>
      <c r="C12" s="68">
        <v>0</v>
      </c>
      <c r="D12" s="73">
        <f>'Kwaliteit graskuil'!D9</f>
        <v>0.8</v>
      </c>
      <c r="E12" s="68">
        <v>0</v>
      </c>
      <c r="F12" s="73" t="e">
        <f>Oogst!C17</f>
        <v>#N/A</v>
      </c>
      <c r="G12" s="68">
        <v>0</v>
      </c>
      <c r="H12" s="73" t="e">
        <f>'In-uitkuilen'!$C$18</f>
        <v>#N/A</v>
      </c>
      <c r="I12" s="68">
        <v>0</v>
      </c>
      <c r="J12" s="72">
        <f>Zaai!C15</f>
        <v>0</v>
      </c>
      <c r="K12" s="68">
        <v>0</v>
      </c>
      <c r="L12" s="73" t="e">
        <f>Graslandonderhoud!$C$12</f>
        <v>#N/A</v>
      </c>
      <c r="M12" s="68">
        <v>0</v>
      </c>
      <c r="N12" s="73" t="e">
        <f>Weidegang!C15</f>
        <v>#DIV/0!</v>
      </c>
      <c r="O12" s="68">
        <v>0</v>
      </c>
      <c r="P12" s="73" t="e">
        <f>Waterhuishouding!C11</f>
        <v>#N/A</v>
      </c>
      <c r="Q12" s="68">
        <v>0</v>
      </c>
      <c r="R12" s="68"/>
      <c r="S12" s="73" t="e">
        <f>ROUND(AVERAGE(P12,N12,L12,J12,H12,F12,D12,B12),2)</f>
        <v>#N/A</v>
      </c>
      <c r="T12" s="68"/>
      <c r="U12" s="68"/>
      <c r="V12" s="68"/>
      <c r="W12" s="68"/>
      <c r="X12" s="68"/>
      <c r="Y12" s="68"/>
      <c r="Z12" s="69"/>
      <c r="AA12" s="45" t="str">
        <f>F11</f>
        <v>Oogst</v>
      </c>
      <c r="AB12" s="71" t="e">
        <f>F12</f>
        <v>#N/A</v>
      </c>
      <c r="AD12" s="45" t="str">
        <v>Weidegang</v>
      </c>
      <c r="AE12" s="45" t="e">
        <v>#DIV/0!</v>
      </c>
    </row>
    <row r="13" spans="1:31" s="45" customFormat="1" x14ac:dyDescent="0.3">
      <c r="A13" s="67"/>
      <c r="B13" s="72"/>
      <c r="C13" s="68"/>
      <c r="D13" s="73"/>
      <c r="E13" s="68"/>
      <c r="F13" s="73"/>
      <c r="G13" s="68"/>
      <c r="H13" s="73"/>
      <c r="I13" s="68"/>
      <c r="J13" s="72"/>
      <c r="K13" s="68"/>
      <c r="L13" s="73"/>
      <c r="M13" s="68"/>
      <c r="N13" s="73"/>
      <c r="O13" s="68"/>
      <c r="P13" s="73"/>
      <c r="Q13" s="68"/>
      <c r="R13" s="68"/>
      <c r="S13" s="73"/>
      <c r="T13" s="68"/>
      <c r="U13" s="68"/>
      <c r="V13" s="68"/>
      <c r="W13" s="68"/>
      <c r="X13" s="68"/>
      <c r="Y13" s="68"/>
      <c r="Z13" s="69"/>
      <c r="AA13" s="45" t="str">
        <f>H11</f>
        <v>In- en uitkuilen</v>
      </c>
      <c r="AB13" s="71" t="e">
        <f>H12</f>
        <v>#N/A</v>
      </c>
      <c r="AD13" s="45" t="str">
        <v>Nutriëntenbeheer</v>
      </c>
      <c r="AE13" s="45" t="e">
        <v>#N/A</v>
      </c>
    </row>
    <row r="14" spans="1:31" s="45" customFormat="1" x14ac:dyDescent="0.3">
      <c r="A14" s="67"/>
      <c r="B14" s="68"/>
      <c r="C14" s="68"/>
      <c r="D14" s="68"/>
      <c r="E14" s="68"/>
      <c r="F14" s="68"/>
      <c r="G14" s="68"/>
      <c r="H14" s="68"/>
      <c r="I14" s="68"/>
      <c r="J14" s="68"/>
      <c r="K14" s="68"/>
      <c r="L14" s="68"/>
      <c r="M14" s="68"/>
      <c r="N14" s="68"/>
      <c r="O14" s="68"/>
      <c r="P14" s="68"/>
      <c r="Q14" s="68"/>
      <c r="R14" s="68"/>
      <c r="S14" s="68"/>
      <c r="T14" s="68"/>
      <c r="U14" s="68"/>
      <c r="V14" s="68"/>
      <c r="W14" s="68"/>
      <c r="X14" s="68"/>
      <c r="Y14" s="68"/>
      <c r="Z14" s="69"/>
      <c r="AA14" s="45" t="str">
        <f>J11</f>
        <v>Zaai</v>
      </c>
      <c r="AB14" s="71">
        <f>J12</f>
        <v>0</v>
      </c>
      <c r="AD14" s="45" t="str">
        <v>Oogst</v>
      </c>
      <c r="AE14" s="45" t="e">
        <v>#N/A</v>
      </c>
    </row>
    <row r="15" spans="1:31" s="45" customFormat="1" x14ac:dyDescent="0.3">
      <c r="A15" s="67"/>
      <c r="B15" s="68"/>
      <c r="C15" s="68"/>
      <c r="D15" s="68"/>
      <c r="E15" s="68"/>
      <c r="F15" s="68"/>
      <c r="G15" s="68"/>
      <c r="H15" s="68"/>
      <c r="I15" s="68"/>
      <c r="J15" s="68"/>
      <c r="K15" s="68"/>
      <c r="L15" s="68"/>
      <c r="M15" s="68"/>
      <c r="N15" s="68"/>
      <c r="O15" s="68"/>
      <c r="P15" s="68"/>
      <c r="Q15" s="68"/>
      <c r="R15" s="68"/>
      <c r="S15" s="68"/>
      <c r="T15" s="68"/>
      <c r="U15" s="68"/>
      <c r="V15" s="68"/>
      <c r="W15" s="68"/>
      <c r="X15" s="68"/>
      <c r="Y15" s="68"/>
      <c r="Z15" s="69"/>
      <c r="AA15" s="45" t="str">
        <f>L11</f>
        <v>Graslandonderhoud</v>
      </c>
      <c r="AB15" s="71" t="e">
        <f>L12</f>
        <v>#N/A</v>
      </c>
      <c r="AD15" s="45" t="str">
        <v>In- en uitkuilen</v>
      </c>
      <c r="AE15" s="45" t="e">
        <v>#N/A</v>
      </c>
    </row>
    <row r="16" spans="1:31" s="45" customFormat="1" x14ac:dyDescent="0.3">
      <c r="A16" s="67"/>
      <c r="B16" s="68"/>
      <c r="C16" s="68"/>
      <c r="D16" s="68"/>
      <c r="E16" s="68"/>
      <c r="F16" s="68"/>
      <c r="G16" s="68"/>
      <c r="H16" s="68"/>
      <c r="I16" s="68"/>
      <c r="J16" s="68"/>
      <c r="K16" s="68"/>
      <c r="L16" s="68"/>
      <c r="M16" s="68"/>
      <c r="N16" s="68"/>
      <c r="O16" s="68"/>
      <c r="P16" s="68"/>
      <c r="Q16" s="68"/>
      <c r="R16" s="68"/>
      <c r="S16" s="68"/>
      <c r="T16" s="68"/>
      <c r="U16" s="68"/>
      <c r="V16" s="68"/>
      <c r="W16" s="68"/>
      <c r="X16" s="68"/>
      <c r="Y16" s="68"/>
      <c r="Z16" s="69"/>
      <c r="AA16" s="45" t="str">
        <f>N11</f>
        <v>Weidegang</v>
      </c>
      <c r="AB16" s="71" t="e">
        <f>N12</f>
        <v>#DIV/0!</v>
      </c>
      <c r="AD16" s="45" t="str">
        <v>Graslandonderhoud</v>
      </c>
      <c r="AE16" s="45" t="e">
        <v>#N/A</v>
      </c>
    </row>
    <row r="17" spans="1:36" s="45" customFormat="1" x14ac:dyDescent="0.3">
      <c r="A17" s="67"/>
      <c r="B17" s="68"/>
      <c r="C17" s="68"/>
      <c r="D17" s="68"/>
      <c r="E17" s="68"/>
      <c r="F17" s="68"/>
      <c r="G17" s="68"/>
      <c r="H17" s="68"/>
      <c r="I17" s="68"/>
      <c r="J17" s="68"/>
      <c r="K17" s="68"/>
      <c r="L17" s="68"/>
      <c r="M17" s="68"/>
      <c r="N17" s="68"/>
      <c r="O17" s="68"/>
      <c r="P17" s="68"/>
      <c r="Q17" s="68"/>
      <c r="R17" s="68"/>
      <c r="S17" s="68"/>
      <c r="T17" s="68"/>
      <c r="U17" s="68"/>
      <c r="V17" s="68"/>
      <c r="W17" s="68"/>
      <c r="X17" s="68"/>
      <c r="Y17" s="68"/>
      <c r="Z17" s="69"/>
      <c r="AA17" s="45" t="str">
        <f>P11</f>
        <v>Waterhuishouding</v>
      </c>
      <c r="AB17" s="71" t="e">
        <f>P12</f>
        <v>#N/A</v>
      </c>
      <c r="AD17" s="45" t="str">
        <v>Waterhuishouding</v>
      </c>
      <c r="AE17" s="45" t="e">
        <v>#N/A</v>
      </c>
    </row>
    <row r="18" spans="1:36" s="56" customFormat="1" x14ac:dyDescent="0.3">
      <c r="A18" s="74"/>
      <c r="B18" s="75"/>
      <c r="C18" s="75"/>
      <c r="D18" s="75"/>
      <c r="E18" s="75"/>
      <c r="F18" s="75"/>
      <c r="G18" s="75"/>
      <c r="H18" s="75"/>
      <c r="I18" s="75"/>
      <c r="J18" s="75"/>
      <c r="K18" s="75"/>
      <c r="L18" s="75"/>
      <c r="M18" s="75"/>
      <c r="N18" s="75"/>
      <c r="O18" s="75"/>
      <c r="P18" s="75"/>
      <c r="Q18" s="75"/>
      <c r="R18" s="75"/>
      <c r="S18" s="75"/>
      <c r="T18" s="75"/>
      <c r="U18" s="75"/>
      <c r="V18" s="75"/>
      <c r="W18" s="75"/>
      <c r="X18" s="75"/>
      <c r="Y18" s="75"/>
      <c r="Z18" s="76"/>
      <c r="AA18" s="45"/>
      <c r="AB18" s="45"/>
      <c r="AC18" s="45"/>
      <c r="AD18" s="45"/>
      <c r="AE18" s="45"/>
      <c r="AF18" s="45"/>
      <c r="AG18" s="45"/>
      <c r="AH18" s="45"/>
      <c r="AI18" s="45"/>
      <c r="AJ18" s="45"/>
    </row>
    <row r="19" spans="1:36" x14ac:dyDescent="0.3">
      <c r="A19" s="64"/>
      <c r="B19" s="65"/>
      <c r="C19" s="65"/>
      <c r="D19" s="65"/>
      <c r="E19" s="65"/>
      <c r="F19" s="65"/>
      <c r="G19" s="65"/>
      <c r="H19" s="65"/>
      <c r="I19" s="65"/>
      <c r="J19" s="65"/>
      <c r="K19" s="65"/>
      <c r="L19" s="65"/>
      <c r="M19" s="65"/>
      <c r="N19" s="65"/>
      <c r="O19" s="65"/>
      <c r="P19" s="65"/>
      <c r="Q19" s="65"/>
      <c r="R19" s="65"/>
      <c r="S19" s="65"/>
      <c r="T19" s="65"/>
      <c r="U19" s="65"/>
      <c r="V19" s="65"/>
      <c r="W19" s="65"/>
      <c r="X19" s="65"/>
      <c r="Y19" s="65"/>
      <c r="Z19" s="66"/>
    </row>
    <row r="20" spans="1:36" x14ac:dyDescent="0.3">
      <c r="A20" s="64"/>
      <c r="B20" s="65"/>
      <c r="C20" s="65"/>
      <c r="D20" s="65"/>
      <c r="E20" s="65"/>
      <c r="F20" s="65"/>
      <c r="G20" s="65"/>
      <c r="H20" s="65"/>
      <c r="I20" s="65"/>
      <c r="J20" s="65"/>
      <c r="K20" s="65"/>
      <c r="L20" s="65"/>
      <c r="M20" s="65"/>
      <c r="N20" s="65"/>
      <c r="O20" s="65"/>
      <c r="P20" s="65"/>
      <c r="Q20" s="65"/>
      <c r="R20" s="65"/>
      <c r="S20" s="65"/>
      <c r="T20" s="65"/>
      <c r="U20" s="65"/>
      <c r="V20" s="65"/>
      <c r="W20" s="65"/>
      <c r="X20" s="65"/>
      <c r="Y20" s="65"/>
      <c r="Z20" s="66"/>
    </row>
    <row r="21" spans="1:36" x14ac:dyDescent="0.3">
      <c r="A21" s="64"/>
      <c r="B21" s="65"/>
      <c r="C21" s="65"/>
      <c r="D21" s="65"/>
      <c r="E21" s="65"/>
      <c r="F21" s="65"/>
      <c r="G21" s="65"/>
      <c r="H21" s="65"/>
      <c r="I21" s="65"/>
      <c r="J21" s="65"/>
      <c r="K21" s="65"/>
      <c r="L21" s="65"/>
      <c r="M21" s="65"/>
      <c r="N21" s="65"/>
      <c r="O21" s="65"/>
      <c r="P21" s="65"/>
      <c r="Q21" s="65"/>
      <c r="R21" s="65"/>
      <c r="S21" s="65"/>
      <c r="T21" s="65"/>
      <c r="U21" s="65"/>
      <c r="V21" s="65"/>
      <c r="W21" s="65"/>
      <c r="X21" s="65"/>
      <c r="Y21" s="65"/>
      <c r="Z21" s="66"/>
    </row>
    <row r="22" spans="1:36" x14ac:dyDescent="0.3">
      <c r="A22" s="64"/>
      <c r="B22" s="65"/>
      <c r="C22" s="65"/>
      <c r="D22" s="65"/>
      <c r="E22" s="65"/>
      <c r="F22" s="65"/>
      <c r="G22" s="65"/>
      <c r="H22" s="65"/>
      <c r="I22" s="65"/>
      <c r="J22" s="65"/>
      <c r="K22" s="65"/>
      <c r="L22" s="65"/>
      <c r="M22" s="65"/>
      <c r="N22" s="65"/>
      <c r="O22" s="65"/>
      <c r="P22" s="65"/>
      <c r="Q22" s="65"/>
      <c r="R22" s="65"/>
      <c r="S22" s="65"/>
      <c r="T22" s="65"/>
      <c r="U22" s="65"/>
      <c r="V22" s="65"/>
      <c r="W22" s="65"/>
      <c r="X22" s="65"/>
      <c r="Y22" s="65"/>
      <c r="Z22" s="66"/>
    </row>
    <row r="23" spans="1:36" x14ac:dyDescent="0.3">
      <c r="A23" s="64"/>
      <c r="B23" s="65"/>
      <c r="C23" s="65"/>
      <c r="D23" s="65"/>
      <c r="E23" s="65"/>
      <c r="F23" s="65"/>
      <c r="G23" s="65"/>
      <c r="H23" s="65"/>
      <c r="I23" s="65"/>
      <c r="J23" s="65"/>
      <c r="K23" s="65"/>
      <c r="L23" s="65"/>
      <c r="M23" s="65"/>
      <c r="N23" s="65"/>
      <c r="O23" s="65"/>
      <c r="P23" s="65"/>
      <c r="Q23" s="65"/>
      <c r="R23" s="65"/>
      <c r="S23" s="65"/>
      <c r="T23" s="65"/>
      <c r="U23" s="65"/>
      <c r="V23" s="65"/>
      <c r="W23" s="65"/>
      <c r="X23" s="65"/>
      <c r="Y23" s="65"/>
      <c r="Z23" s="66"/>
    </row>
    <row r="24" spans="1:36" x14ac:dyDescent="0.3">
      <c r="A24" s="64"/>
      <c r="B24" s="65"/>
      <c r="C24" s="65"/>
      <c r="D24" s="65"/>
      <c r="E24" s="65"/>
      <c r="F24" s="65"/>
      <c r="G24" s="65"/>
      <c r="H24" s="65"/>
      <c r="I24" s="65"/>
      <c r="J24" s="65"/>
      <c r="K24" s="65"/>
      <c r="L24" s="65"/>
      <c r="M24" s="65"/>
      <c r="N24" s="65"/>
      <c r="O24" s="65"/>
      <c r="P24" s="65"/>
      <c r="Q24" s="65"/>
      <c r="R24" s="65"/>
      <c r="S24" s="65"/>
      <c r="T24" s="65"/>
      <c r="U24" s="65"/>
      <c r="V24" s="65"/>
      <c r="W24" s="65"/>
      <c r="X24" s="65"/>
      <c r="Y24" s="65"/>
      <c r="Z24" s="66"/>
    </row>
    <row r="25" spans="1:36" x14ac:dyDescent="0.3">
      <c r="A25" s="64"/>
      <c r="B25" s="65"/>
      <c r="C25" s="65"/>
      <c r="D25" s="65"/>
      <c r="E25" s="65"/>
      <c r="F25" s="65"/>
      <c r="G25" s="65"/>
      <c r="H25" s="65"/>
      <c r="I25" s="65"/>
      <c r="J25" s="65"/>
      <c r="K25" s="65"/>
      <c r="L25" s="65"/>
      <c r="M25" s="65"/>
      <c r="N25" s="65"/>
      <c r="O25" s="65"/>
      <c r="P25" s="65"/>
      <c r="Q25" s="65"/>
      <c r="R25" s="65"/>
      <c r="S25" s="65"/>
      <c r="T25" s="65"/>
      <c r="U25" s="65"/>
      <c r="V25" s="65"/>
      <c r="W25" s="65"/>
      <c r="X25" s="65"/>
      <c r="Y25" s="65"/>
      <c r="Z25" s="66"/>
    </row>
    <row r="26" spans="1:36" x14ac:dyDescent="0.3">
      <c r="A26" s="64"/>
      <c r="B26" s="65"/>
      <c r="C26" s="65"/>
      <c r="D26" s="65"/>
      <c r="E26" s="65"/>
      <c r="F26" s="65"/>
      <c r="G26" s="65"/>
      <c r="H26" s="65"/>
      <c r="I26" s="65"/>
      <c r="J26" s="65"/>
      <c r="K26" s="65"/>
      <c r="L26" s="65"/>
      <c r="M26" s="65"/>
      <c r="N26" s="65"/>
      <c r="O26" s="65"/>
      <c r="P26" s="65"/>
      <c r="Q26" s="65"/>
      <c r="R26" s="65"/>
      <c r="S26" s="65"/>
      <c r="T26" s="65"/>
      <c r="U26" s="65"/>
      <c r="V26" s="65"/>
      <c r="W26" s="65"/>
      <c r="X26" s="65"/>
      <c r="Y26" s="65"/>
      <c r="Z26" s="66"/>
    </row>
    <row r="27" spans="1:36" x14ac:dyDescent="0.3">
      <c r="A27" s="64"/>
      <c r="B27" s="65"/>
      <c r="C27" s="65"/>
      <c r="D27" s="65"/>
      <c r="E27" s="65"/>
      <c r="F27" s="65"/>
      <c r="G27" s="65"/>
      <c r="H27" s="65"/>
      <c r="I27" s="65"/>
      <c r="J27" s="65"/>
      <c r="K27" s="65"/>
      <c r="L27" s="65"/>
      <c r="M27" s="65"/>
      <c r="N27" s="65"/>
      <c r="O27" s="65"/>
      <c r="P27" s="65"/>
      <c r="Q27" s="65"/>
      <c r="R27" s="65"/>
      <c r="S27" s="65"/>
      <c r="T27" s="65"/>
      <c r="U27" s="65"/>
      <c r="V27" s="65"/>
      <c r="W27" s="65"/>
      <c r="X27" s="65"/>
      <c r="Y27" s="65"/>
      <c r="Z27" s="66"/>
    </row>
    <row r="28" spans="1:36" x14ac:dyDescent="0.3">
      <c r="A28" s="64"/>
      <c r="B28" s="65"/>
      <c r="C28" s="65"/>
      <c r="D28" s="65"/>
      <c r="E28" s="65"/>
      <c r="F28" s="65"/>
      <c r="G28" s="65"/>
      <c r="H28" s="65"/>
      <c r="I28" s="65"/>
      <c r="J28" s="65"/>
      <c r="K28" s="65"/>
      <c r="L28" s="65"/>
      <c r="M28" s="65"/>
      <c r="N28" s="65"/>
      <c r="O28" s="65"/>
      <c r="P28" s="65"/>
      <c r="Q28" s="65"/>
      <c r="R28" s="65"/>
      <c r="S28" s="65"/>
      <c r="T28" s="65"/>
      <c r="U28" s="65"/>
      <c r="V28" s="65"/>
      <c r="W28" s="65"/>
      <c r="X28" s="65"/>
      <c r="Y28" s="65"/>
      <c r="Z28" s="66"/>
    </row>
    <row r="29" spans="1:36" x14ac:dyDescent="0.3">
      <c r="A29" s="64"/>
      <c r="B29" s="65"/>
      <c r="C29" s="65"/>
      <c r="D29" s="65"/>
      <c r="E29" s="65"/>
      <c r="F29" s="65"/>
      <c r="G29" s="65"/>
      <c r="H29" s="65"/>
      <c r="I29" s="65"/>
      <c r="J29" s="65"/>
      <c r="K29" s="65"/>
      <c r="L29" s="65"/>
      <c r="M29" s="65"/>
      <c r="N29" s="65"/>
      <c r="O29" s="65"/>
      <c r="P29" s="65"/>
      <c r="Q29" s="65"/>
      <c r="R29" s="65"/>
      <c r="S29" s="65"/>
      <c r="T29" s="65"/>
      <c r="U29" s="65"/>
      <c r="V29" s="65"/>
      <c r="W29" s="65"/>
      <c r="X29" s="65"/>
      <c r="Y29" s="65"/>
      <c r="Z29" s="66"/>
    </row>
    <row r="30" spans="1:36" x14ac:dyDescent="0.3">
      <c r="A30" s="64"/>
      <c r="B30" s="65"/>
      <c r="C30" s="65"/>
      <c r="D30" s="65"/>
      <c r="E30" s="65"/>
      <c r="F30" s="65"/>
      <c r="G30" s="65"/>
      <c r="H30" s="65"/>
      <c r="I30" s="65"/>
      <c r="J30" s="65"/>
      <c r="K30" s="65"/>
      <c r="L30" s="65"/>
      <c r="M30" s="65"/>
      <c r="N30" s="65"/>
      <c r="O30" s="65"/>
      <c r="P30" s="65"/>
      <c r="Q30" s="65"/>
      <c r="R30" s="65"/>
      <c r="S30" s="65"/>
      <c r="T30" s="65"/>
      <c r="U30" s="65"/>
      <c r="V30" s="65"/>
      <c r="W30" s="65"/>
      <c r="X30" s="65"/>
      <c r="Y30" s="65"/>
      <c r="Z30" s="66"/>
    </row>
    <row r="31" spans="1:36" x14ac:dyDescent="0.3">
      <c r="A31" s="64"/>
      <c r="B31" s="65"/>
      <c r="C31" s="65"/>
      <c r="D31" s="65"/>
      <c r="E31" s="65"/>
      <c r="F31" s="65"/>
      <c r="G31" s="65"/>
      <c r="H31" s="65"/>
      <c r="I31" s="65"/>
      <c r="J31" s="65"/>
      <c r="K31" s="65"/>
      <c r="L31" s="65"/>
      <c r="M31" s="65"/>
      <c r="N31" s="65"/>
      <c r="O31" s="65"/>
      <c r="P31" s="65"/>
      <c r="Q31" s="65"/>
      <c r="R31" s="65"/>
      <c r="S31" s="65"/>
      <c r="T31" s="65"/>
      <c r="U31" s="65"/>
      <c r="V31" s="65"/>
      <c r="W31" s="65"/>
      <c r="X31" s="65"/>
      <c r="Y31" s="65"/>
      <c r="Z31" s="66"/>
    </row>
    <row r="32" spans="1:36" x14ac:dyDescent="0.3">
      <c r="A32" s="64"/>
      <c r="B32" s="65"/>
      <c r="C32" s="65"/>
      <c r="D32" s="65"/>
      <c r="E32" s="65"/>
      <c r="F32" s="65"/>
      <c r="G32" s="65"/>
      <c r="H32" s="65"/>
      <c r="I32" s="65"/>
      <c r="J32" s="65"/>
      <c r="K32" s="65"/>
      <c r="L32" s="65"/>
      <c r="M32" s="65"/>
      <c r="N32" s="65"/>
      <c r="O32" s="65"/>
      <c r="P32" s="65"/>
      <c r="Q32" s="65"/>
      <c r="R32" s="65"/>
      <c r="S32" s="65"/>
      <c r="T32" s="65"/>
      <c r="U32" s="65"/>
      <c r="V32" s="65"/>
      <c r="W32" s="65"/>
      <c r="X32" s="65"/>
      <c r="Y32" s="65"/>
      <c r="Z32" s="66"/>
    </row>
    <row r="33" spans="1:26" x14ac:dyDescent="0.3">
      <c r="A33" s="64"/>
      <c r="B33" s="65"/>
      <c r="C33" s="65"/>
      <c r="D33" s="65"/>
      <c r="E33" s="65"/>
      <c r="F33" s="65"/>
      <c r="G33" s="65"/>
      <c r="H33" s="65"/>
      <c r="I33" s="65"/>
      <c r="J33" s="65"/>
      <c r="K33" s="65"/>
      <c r="L33" s="65"/>
      <c r="M33" s="65"/>
      <c r="N33" s="65"/>
      <c r="O33" s="65"/>
      <c r="P33" s="65"/>
      <c r="Q33" s="65"/>
      <c r="R33" s="65"/>
      <c r="S33" s="65"/>
      <c r="T33" s="65"/>
      <c r="U33" s="65"/>
      <c r="V33" s="65"/>
      <c r="W33" s="65"/>
      <c r="X33" s="65"/>
      <c r="Y33" s="65"/>
      <c r="Z33" s="66"/>
    </row>
    <row r="34" spans="1:26" x14ac:dyDescent="0.3">
      <c r="A34" s="64"/>
      <c r="B34" s="65"/>
      <c r="C34" s="65"/>
      <c r="D34" s="65"/>
      <c r="E34" s="65"/>
      <c r="F34" s="65"/>
      <c r="G34" s="65"/>
      <c r="H34" s="65"/>
      <c r="I34" s="65"/>
      <c r="J34" s="65"/>
      <c r="K34" s="65"/>
      <c r="L34" s="65"/>
      <c r="M34" s="65"/>
      <c r="N34" s="65"/>
      <c r="O34" s="65"/>
      <c r="P34" s="65"/>
      <c r="Q34" s="65"/>
      <c r="R34" s="65"/>
      <c r="S34" s="65"/>
      <c r="T34" s="65"/>
      <c r="U34" s="65"/>
      <c r="V34" s="65"/>
      <c r="W34" s="65"/>
      <c r="X34" s="65"/>
      <c r="Y34" s="65"/>
      <c r="Z34" s="66"/>
    </row>
    <row r="35" spans="1:26" x14ac:dyDescent="0.3">
      <c r="A35" s="64"/>
      <c r="B35" s="65"/>
      <c r="C35" s="65"/>
      <c r="D35" s="65"/>
      <c r="E35" s="65"/>
      <c r="F35" s="65"/>
      <c r="G35" s="65"/>
      <c r="H35" s="65"/>
      <c r="I35" s="65"/>
      <c r="J35" s="65"/>
      <c r="K35" s="65"/>
      <c r="L35" s="65"/>
      <c r="M35" s="65"/>
      <c r="N35" s="65"/>
      <c r="O35" s="65"/>
      <c r="P35" s="65"/>
      <c r="Q35" s="65"/>
      <c r="R35" s="65"/>
      <c r="S35" s="65"/>
      <c r="T35" s="65"/>
      <c r="U35" s="65"/>
      <c r="V35" s="65"/>
      <c r="W35" s="65"/>
      <c r="X35" s="65"/>
      <c r="Y35" s="65"/>
      <c r="Z35" s="66"/>
    </row>
    <row r="36" spans="1:26" x14ac:dyDescent="0.3">
      <c r="A36" s="64"/>
      <c r="B36" s="65"/>
      <c r="C36" s="65"/>
      <c r="D36" s="65"/>
      <c r="E36" s="65"/>
      <c r="F36" s="65"/>
      <c r="G36" s="65"/>
      <c r="H36" s="65"/>
      <c r="I36" s="65"/>
      <c r="J36" s="65"/>
      <c r="K36" s="65"/>
      <c r="L36" s="65"/>
      <c r="M36" s="65"/>
      <c r="N36" s="65"/>
      <c r="O36" s="65"/>
      <c r="P36" s="65"/>
      <c r="Q36" s="65"/>
      <c r="R36" s="65"/>
      <c r="S36" s="65"/>
      <c r="T36" s="65"/>
      <c r="U36" s="65"/>
      <c r="V36" s="65"/>
      <c r="W36" s="65"/>
      <c r="X36" s="65"/>
      <c r="Y36" s="65"/>
      <c r="Z36" s="66"/>
    </row>
    <row r="37" spans="1:26" x14ac:dyDescent="0.3">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6"/>
    </row>
    <row r="38" spans="1:26" x14ac:dyDescent="0.3">
      <c r="A38" s="64"/>
      <c r="B38" s="65"/>
      <c r="C38" s="65"/>
      <c r="D38" s="65"/>
      <c r="E38" s="65"/>
      <c r="F38" s="65"/>
      <c r="G38" s="65"/>
      <c r="H38" s="65"/>
      <c r="I38" s="65"/>
      <c r="J38" s="65"/>
      <c r="K38" s="65"/>
      <c r="L38" s="65"/>
      <c r="M38" s="65"/>
      <c r="N38" s="65"/>
      <c r="O38" s="65"/>
      <c r="P38" s="65"/>
      <c r="Q38" s="65"/>
      <c r="R38" s="65"/>
      <c r="S38" s="65"/>
      <c r="T38" s="65"/>
      <c r="U38" s="65"/>
      <c r="V38" s="65"/>
      <c r="W38" s="65"/>
      <c r="X38" s="65"/>
      <c r="Y38" s="65"/>
      <c r="Z38" s="66"/>
    </row>
    <row r="39" spans="1:26" x14ac:dyDescent="0.3">
      <c r="A39" s="64"/>
      <c r="B39" s="65"/>
      <c r="C39" s="65"/>
      <c r="D39" s="65"/>
      <c r="E39" s="65"/>
      <c r="F39" s="65"/>
      <c r="G39" s="65"/>
      <c r="H39" s="65"/>
      <c r="I39" s="65"/>
      <c r="J39" s="65"/>
      <c r="K39" s="65"/>
      <c r="L39" s="65"/>
      <c r="M39" s="65"/>
      <c r="N39" s="65"/>
      <c r="O39" s="65"/>
      <c r="P39" s="65"/>
      <c r="Q39" s="65"/>
      <c r="R39" s="65"/>
      <c r="S39" s="65"/>
      <c r="T39" s="65"/>
      <c r="U39" s="65"/>
      <c r="V39" s="65"/>
      <c r="W39" s="65"/>
      <c r="X39" s="65"/>
      <c r="Y39" s="65"/>
      <c r="Z39" s="66"/>
    </row>
    <row r="40" spans="1:26" x14ac:dyDescent="0.3">
      <c r="A40" s="64"/>
      <c r="B40" s="65"/>
      <c r="C40" s="65"/>
      <c r="D40" s="65"/>
      <c r="E40" s="65"/>
      <c r="F40" s="65"/>
      <c r="G40" s="65"/>
      <c r="H40" s="65"/>
      <c r="I40" s="65"/>
      <c r="J40" s="65"/>
      <c r="K40" s="65"/>
      <c r="L40" s="65"/>
      <c r="M40" s="65"/>
      <c r="N40" s="65"/>
      <c r="O40" s="65"/>
      <c r="P40" s="65"/>
      <c r="Q40" s="65"/>
      <c r="R40" s="65"/>
      <c r="S40" s="65"/>
      <c r="T40" s="65"/>
      <c r="U40" s="65"/>
      <c r="V40" s="65"/>
      <c r="W40" s="65"/>
      <c r="X40" s="65"/>
      <c r="Y40" s="65"/>
      <c r="Z40" s="66"/>
    </row>
    <row r="41" spans="1:26" x14ac:dyDescent="0.3">
      <c r="A41" s="64"/>
      <c r="B41" s="65"/>
      <c r="C41" s="65"/>
      <c r="D41" s="65"/>
      <c r="E41" s="65"/>
      <c r="F41" s="65"/>
      <c r="G41" s="65"/>
      <c r="H41" s="65"/>
      <c r="I41" s="65"/>
      <c r="J41" s="65"/>
      <c r="K41" s="65"/>
      <c r="L41" s="65"/>
      <c r="M41" s="65"/>
      <c r="N41" s="65"/>
      <c r="O41" s="65"/>
      <c r="P41" s="65"/>
      <c r="Q41" s="65"/>
      <c r="R41" s="65"/>
      <c r="S41" s="65"/>
      <c r="T41" s="65"/>
      <c r="U41" s="65"/>
      <c r="V41" s="65"/>
      <c r="W41" s="65"/>
      <c r="X41" s="65"/>
      <c r="Y41" s="65"/>
      <c r="Z41" s="66"/>
    </row>
    <row r="42" spans="1:26" x14ac:dyDescent="0.3">
      <c r="A42" s="64"/>
      <c r="B42" s="65"/>
      <c r="C42" s="65"/>
      <c r="D42" s="65"/>
      <c r="E42" s="65"/>
      <c r="F42" s="65"/>
      <c r="G42" s="65"/>
      <c r="H42" s="65"/>
      <c r="I42" s="65"/>
      <c r="J42" s="65"/>
      <c r="K42" s="65"/>
      <c r="L42" s="65"/>
      <c r="M42" s="65"/>
      <c r="N42" s="65"/>
      <c r="O42" s="65"/>
      <c r="P42" s="65"/>
      <c r="Q42" s="65"/>
      <c r="R42" s="65"/>
      <c r="S42" s="65"/>
      <c r="T42" s="65"/>
      <c r="U42" s="65"/>
      <c r="V42" s="65"/>
      <c r="W42" s="65"/>
      <c r="X42" s="65"/>
      <c r="Y42" s="65"/>
      <c r="Z42" s="66"/>
    </row>
    <row r="43" spans="1:26" x14ac:dyDescent="0.3">
      <c r="A43" s="64"/>
      <c r="B43" s="65"/>
      <c r="C43" s="65"/>
      <c r="D43" s="65"/>
      <c r="E43" s="65"/>
      <c r="F43" s="65"/>
      <c r="G43" s="65"/>
      <c r="H43" s="65"/>
      <c r="I43" s="65"/>
      <c r="J43" s="65"/>
      <c r="K43" s="65"/>
      <c r="L43" s="65"/>
      <c r="M43" s="65"/>
      <c r="N43" s="65"/>
      <c r="O43" s="65"/>
      <c r="P43" s="65"/>
      <c r="Q43" s="65"/>
      <c r="R43" s="65"/>
      <c r="S43" s="65"/>
      <c r="T43" s="65"/>
      <c r="U43" s="65"/>
      <c r="V43" s="65"/>
      <c r="W43" s="65"/>
      <c r="X43" s="65"/>
      <c r="Y43" s="65"/>
      <c r="Z43" s="66"/>
    </row>
    <row r="44" spans="1:26" x14ac:dyDescent="0.3">
      <c r="A44" s="64"/>
      <c r="B44" s="65"/>
      <c r="C44" s="65"/>
      <c r="D44" s="65"/>
      <c r="E44" s="65"/>
      <c r="F44" s="65"/>
      <c r="G44" s="65"/>
      <c r="H44" s="65"/>
      <c r="I44" s="65"/>
      <c r="J44" s="65"/>
      <c r="K44" s="65"/>
      <c r="L44" s="65"/>
      <c r="M44" s="65"/>
      <c r="N44" s="65"/>
      <c r="O44" s="65"/>
      <c r="P44" s="65"/>
      <c r="Q44" s="65"/>
      <c r="R44" s="65"/>
      <c r="S44" s="65"/>
      <c r="T44" s="65"/>
      <c r="U44" s="65"/>
      <c r="V44" s="65"/>
      <c r="W44" s="65"/>
      <c r="X44" s="65"/>
      <c r="Y44" s="65"/>
      <c r="Z44" s="66"/>
    </row>
    <row r="45" spans="1:26" x14ac:dyDescent="0.3">
      <c r="A45" s="64"/>
      <c r="B45" s="65"/>
      <c r="C45" s="65"/>
      <c r="D45" s="65"/>
      <c r="E45" s="65"/>
      <c r="F45" s="65"/>
      <c r="G45" s="65"/>
      <c r="H45" s="65"/>
      <c r="I45" s="65"/>
      <c r="J45" s="65"/>
      <c r="K45" s="65"/>
      <c r="L45" s="65"/>
      <c r="M45" s="65"/>
      <c r="N45" s="65"/>
      <c r="O45" s="65"/>
      <c r="P45" s="65"/>
      <c r="Q45" s="65"/>
      <c r="R45" s="65"/>
      <c r="S45" s="65"/>
      <c r="T45" s="65"/>
      <c r="U45" s="65"/>
      <c r="V45" s="65"/>
      <c r="W45" s="65"/>
      <c r="X45" s="65"/>
      <c r="Y45" s="65"/>
      <c r="Z45" s="66"/>
    </row>
    <row r="46" spans="1:26" x14ac:dyDescent="0.3">
      <c r="A46" s="64"/>
      <c r="B46" s="65"/>
      <c r="C46" s="65"/>
      <c r="D46" s="65"/>
      <c r="E46" s="65"/>
      <c r="F46" s="65"/>
      <c r="G46" s="65"/>
      <c r="H46" s="65"/>
      <c r="I46" s="65"/>
      <c r="J46" s="65"/>
      <c r="K46" s="65"/>
      <c r="L46" s="65"/>
      <c r="M46" s="65"/>
      <c r="N46" s="65"/>
      <c r="O46" s="65"/>
      <c r="P46" s="65"/>
      <c r="Q46" s="65"/>
      <c r="R46" s="65"/>
      <c r="S46" s="65"/>
      <c r="T46" s="65"/>
      <c r="U46" s="65"/>
      <c r="V46" s="65"/>
      <c r="W46" s="65"/>
      <c r="X46" s="65"/>
      <c r="Y46" s="65"/>
      <c r="Z46" s="66"/>
    </row>
    <row r="47" spans="1:26" x14ac:dyDescent="0.3">
      <c r="A47" s="64"/>
      <c r="B47" s="65"/>
      <c r="C47" s="65"/>
      <c r="D47" s="65"/>
      <c r="E47" s="65"/>
      <c r="F47" s="65"/>
      <c r="G47" s="65"/>
      <c r="H47" s="65"/>
      <c r="I47" s="65"/>
      <c r="J47" s="65"/>
      <c r="K47" s="65"/>
      <c r="L47" s="65"/>
      <c r="M47" s="65"/>
      <c r="N47" s="65"/>
      <c r="O47" s="65"/>
      <c r="P47" s="65"/>
      <c r="Q47" s="65"/>
      <c r="R47" s="65"/>
      <c r="S47" s="65"/>
      <c r="T47" s="65"/>
      <c r="U47" s="65"/>
      <c r="V47" s="65"/>
      <c r="W47" s="65"/>
      <c r="X47" s="65"/>
      <c r="Y47" s="65"/>
      <c r="Z47" s="66"/>
    </row>
    <row r="48" spans="1:26" x14ac:dyDescent="0.3">
      <c r="A48" s="64"/>
      <c r="B48" s="65"/>
      <c r="C48" s="65"/>
      <c r="D48" s="65"/>
      <c r="E48" s="65"/>
      <c r="F48" s="65"/>
      <c r="G48" s="65"/>
      <c r="H48" s="65"/>
      <c r="I48" s="65"/>
      <c r="J48" s="65"/>
      <c r="K48" s="65"/>
      <c r="L48" s="65"/>
      <c r="M48" s="65"/>
      <c r="N48" s="65"/>
      <c r="O48" s="65"/>
      <c r="P48" s="65"/>
      <c r="Q48" s="65"/>
      <c r="R48" s="65"/>
      <c r="S48" s="65"/>
      <c r="T48" s="65"/>
      <c r="U48" s="65"/>
      <c r="V48" s="65"/>
      <c r="W48" s="65"/>
      <c r="X48" s="65"/>
      <c r="Y48" s="65"/>
      <c r="Z48" s="66"/>
    </row>
    <row r="49" spans="1:36" x14ac:dyDescent="0.3">
      <c r="A49" s="64"/>
      <c r="B49" s="65"/>
      <c r="C49" s="65"/>
      <c r="D49" s="65"/>
      <c r="E49" s="65"/>
      <c r="F49" s="65"/>
      <c r="G49" s="65"/>
      <c r="H49" s="65"/>
      <c r="I49" s="65"/>
      <c r="J49" s="65"/>
      <c r="K49" s="65"/>
      <c r="L49" s="65"/>
      <c r="M49" s="65"/>
      <c r="N49" s="65"/>
      <c r="O49" s="65"/>
      <c r="P49" s="65"/>
      <c r="Q49" s="65"/>
      <c r="R49" s="65"/>
      <c r="S49" s="65"/>
      <c r="T49" s="65"/>
      <c r="U49" s="65"/>
      <c r="V49" s="65"/>
      <c r="W49" s="65"/>
      <c r="X49" s="65"/>
      <c r="Y49" s="65"/>
      <c r="Z49" s="66"/>
    </row>
    <row r="50" spans="1:36" x14ac:dyDescent="0.3">
      <c r="A50" s="64"/>
      <c r="B50" s="65"/>
      <c r="C50" s="65"/>
      <c r="D50" s="65"/>
      <c r="E50" s="65"/>
      <c r="F50" s="65"/>
      <c r="G50" s="65"/>
      <c r="H50" s="65"/>
      <c r="I50" s="65"/>
      <c r="J50" s="65"/>
      <c r="K50" s="65"/>
      <c r="L50" s="65"/>
      <c r="M50" s="65"/>
      <c r="N50" s="65"/>
      <c r="O50" s="65"/>
      <c r="P50" s="65"/>
      <c r="Q50" s="65"/>
      <c r="R50" s="65"/>
      <c r="S50" s="65"/>
      <c r="T50" s="65"/>
      <c r="U50" s="65"/>
      <c r="V50" s="65"/>
      <c r="W50" s="65"/>
      <c r="X50" s="65"/>
      <c r="Y50" s="65"/>
      <c r="Z50" s="66"/>
    </row>
    <row r="51" spans="1:36" x14ac:dyDescent="0.3">
      <c r="A51" s="64"/>
      <c r="B51" s="65"/>
      <c r="C51" s="65"/>
      <c r="D51" s="65"/>
      <c r="E51" s="65"/>
      <c r="F51" s="65"/>
      <c r="G51" s="65"/>
      <c r="H51" s="65"/>
      <c r="I51" s="65"/>
      <c r="J51" s="65"/>
      <c r="K51" s="65"/>
      <c r="L51" s="65"/>
      <c r="M51" s="65"/>
      <c r="N51" s="65"/>
      <c r="O51" s="65"/>
      <c r="P51" s="65"/>
      <c r="Q51" s="65"/>
      <c r="R51" s="65"/>
      <c r="S51" s="65"/>
      <c r="T51" s="65"/>
      <c r="U51" s="65"/>
      <c r="V51" s="65"/>
      <c r="W51" s="65"/>
      <c r="X51" s="65"/>
      <c r="Y51" s="65"/>
      <c r="Z51" s="66"/>
    </row>
    <row r="52" spans="1:36" x14ac:dyDescent="0.3">
      <c r="A52" s="64"/>
      <c r="B52" s="65"/>
      <c r="C52" s="65"/>
      <c r="D52" s="65"/>
      <c r="E52" s="65"/>
      <c r="F52" s="65"/>
      <c r="G52" s="65"/>
      <c r="H52" s="65"/>
      <c r="I52" s="65"/>
      <c r="J52" s="65"/>
      <c r="K52" s="65"/>
      <c r="L52" s="65"/>
      <c r="M52" s="65"/>
      <c r="N52" s="65"/>
      <c r="O52" s="65"/>
      <c r="P52" s="65"/>
      <c r="Q52" s="65"/>
      <c r="R52" s="65"/>
      <c r="S52" s="65"/>
      <c r="T52" s="65"/>
      <c r="U52" s="65"/>
      <c r="V52" s="65"/>
      <c r="W52" s="65"/>
      <c r="X52" s="65"/>
      <c r="Y52" s="65"/>
      <c r="Z52" s="66"/>
    </row>
    <row r="53" spans="1:36" x14ac:dyDescent="0.3">
      <c r="A53" s="64"/>
      <c r="B53" s="65"/>
      <c r="C53" s="65"/>
      <c r="D53" s="65"/>
      <c r="E53" s="65"/>
      <c r="F53" s="65"/>
      <c r="G53" s="65"/>
      <c r="H53" s="65"/>
      <c r="I53" s="65"/>
      <c r="J53" s="65"/>
      <c r="K53" s="65"/>
      <c r="L53" s="65"/>
      <c r="M53" s="65"/>
      <c r="N53" s="65"/>
      <c r="O53" s="65"/>
      <c r="P53" s="65"/>
      <c r="Q53" s="65"/>
      <c r="R53" s="65"/>
      <c r="S53" s="65"/>
      <c r="T53" s="65"/>
      <c r="U53" s="65"/>
      <c r="V53" s="65"/>
      <c r="W53" s="65"/>
      <c r="X53" s="65"/>
      <c r="Y53" s="65"/>
      <c r="Z53" s="66"/>
    </row>
    <row r="54" spans="1:36" x14ac:dyDescent="0.3">
      <c r="A54" s="64"/>
      <c r="B54" s="65"/>
      <c r="C54" s="65"/>
      <c r="D54" s="65"/>
      <c r="E54" s="65"/>
      <c r="F54" s="65"/>
      <c r="G54" s="65"/>
      <c r="H54" s="65"/>
      <c r="I54" s="65"/>
      <c r="J54" s="65"/>
      <c r="K54" s="65"/>
      <c r="L54" s="65"/>
      <c r="M54" s="65"/>
      <c r="N54" s="65"/>
      <c r="O54" s="65"/>
      <c r="P54" s="65"/>
      <c r="Q54" s="65"/>
      <c r="R54" s="65"/>
      <c r="S54" s="65"/>
      <c r="T54" s="65"/>
      <c r="U54" s="65"/>
      <c r="V54" s="65"/>
      <c r="W54" s="65"/>
      <c r="X54" s="65"/>
      <c r="Y54" s="65"/>
      <c r="Z54" s="66"/>
    </row>
    <row r="55" spans="1:36" x14ac:dyDescent="0.3">
      <c r="A55" s="64"/>
      <c r="B55" s="65"/>
      <c r="C55" s="65"/>
      <c r="D55" s="65"/>
      <c r="E55" s="65"/>
      <c r="F55" s="65"/>
      <c r="G55" s="65"/>
      <c r="H55" s="65"/>
      <c r="I55" s="65"/>
      <c r="J55" s="65"/>
      <c r="K55" s="65"/>
      <c r="L55" s="65"/>
      <c r="M55" s="65"/>
      <c r="N55" s="65"/>
      <c r="O55" s="65"/>
      <c r="P55" s="65"/>
      <c r="Q55" s="65"/>
      <c r="R55" s="65"/>
      <c r="S55" s="65"/>
      <c r="T55" s="65"/>
      <c r="U55" s="65"/>
      <c r="V55" s="65"/>
      <c r="W55" s="65"/>
      <c r="X55" s="65"/>
      <c r="Y55" s="65"/>
      <c r="Z55" s="66"/>
    </row>
    <row r="56" spans="1:36" x14ac:dyDescent="0.3">
      <c r="A56" s="64"/>
      <c r="B56" s="65"/>
      <c r="C56" s="65"/>
      <c r="D56" s="65"/>
      <c r="E56" s="65"/>
      <c r="F56" s="65"/>
      <c r="G56" s="65"/>
      <c r="H56" s="65"/>
      <c r="I56" s="65"/>
      <c r="J56" s="65"/>
      <c r="K56" s="65"/>
      <c r="L56" s="65"/>
      <c r="M56" s="65"/>
      <c r="N56" s="65"/>
      <c r="O56" s="65"/>
      <c r="P56" s="65"/>
      <c r="Q56" s="65"/>
      <c r="R56" s="65"/>
      <c r="S56" s="65"/>
      <c r="T56" s="65"/>
      <c r="U56" s="65"/>
      <c r="V56" s="65"/>
      <c r="W56" s="65"/>
      <c r="X56" s="65"/>
      <c r="Y56" s="65"/>
      <c r="Z56" s="66"/>
    </row>
    <row r="57" spans="1:36" x14ac:dyDescent="0.3">
      <c r="A57" s="64"/>
      <c r="B57" s="65"/>
      <c r="C57" s="65"/>
      <c r="D57" s="65"/>
      <c r="E57" s="65"/>
      <c r="F57" s="65"/>
      <c r="G57" s="65"/>
      <c r="H57" s="65"/>
      <c r="I57" s="65"/>
      <c r="J57" s="65"/>
      <c r="K57" s="65"/>
      <c r="L57" s="65"/>
      <c r="M57" s="65"/>
      <c r="N57" s="65"/>
      <c r="O57" s="65"/>
      <c r="P57" s="65"/>
      <c r="Q57" s="65"/>
      <c r="R57" s="65"/>
      <c r="S57" s="65"/>
      <c r="T57" s="65"/>
      <c r="U57" s="65"/>
      <c r="V57" s="65"/>
      <c r="W57" s="65"/>
      <c r="X57" s="65"/>
      <c r="Y57" s="65"/>
      <c r="Z57" s="66"/>
    </row>
    <row r="58" spans="1:36" x14ac:dyDescent="0.3">
      <c r="A58" s="64"/>
      <c r="B58" s="65"/>
      <c r="C58" s="65"/>
      <c r="D58" s="65"/>
      <c r="E58" s="65"/>
      <c r="F58" s="65"/>
      <c r="G58" s="65"/>
      <c r="H58" s="65"/>
      <c r="I58" s="65"/>
      <c r="J58" s="65"/>
      <c r="K58" s="65"/>
      <c r="L58" s="65"/>
      <c r="M58" s="65"/>
      <c r="N58" s="65"/>
      <c r="O58" s="65"/>
      <c r="P58" s="65"/>
      <c r="Q58" s="65"/>
      <c r="R58" s="65"/>
      <c r="S58" s="65"/>
      <c r="T58" s="65"/>
      <c r="U58" s="65"/>
      <c r="V58" s="65"/>
      <c r="W58" s="65"/>
      <c r="X58" s="65"/>
      <c r="Y58" s="65"/>
      <c r="Z58" s="66"/>
    </row>
    <row r="59" spans="1:36" x14ac:dyDescent="0.3">
      <c r="A59" s="64"/>
      <c r="B59" s="65"/>
      <c r="C59" s="65"/>
      <c r="D59" s="65"/>
      <c r="E59" s="65"/>
      <c r="F59" s="65"/>
      <c r="G59" s="65"/>
      <c r="H59" s="65"/>
      <c r="I59" s="65"/>
      <c r="J59" s="65"/>
      <c r="K59" s="65"/>
      <c r="L59" s="65"/>
      <c r="M59" s="65"/>
      <c r="N59" s="65"/>
      <c r="O59" s="65"/>
      <c r="P59" s="65"/>
      <c r="Q59" s="65"/>
      <c r="R59" s="65"/>
      <c r="S59" s="65"/>
      <c r="T59" s="65"/>
      <c r="U59" s="65"/>
      <c r="V59" s="65"/>
      <c r="W59" s="65"/>
      <c r="X59" s="65"/>
      <c r="Y59" s="65"/>
      <c r="Z59" s="66"/>
    </row>
    <row r="60" spans="1:36" x14ac:dyDescent="0.3">
      <c r="A60" s="64"/>
      <c r="B60" s="65"/>
      <c r="C60" s="65"/>
      <c r="D60" s="65"/>
      <c r="E60" s="65"/>
      <c r="F60" s="65"/>
      <c r="G60" s="65"/>
      <c r="H60" s="65"/>
      <c r="I60" s="65"/>
      <c r="J60" s="65"/>
      <c r="K60" s="65"/>
      <c r="L60" s="65"/>
      <c r="M60" s="65"/>
      <c r="N60" s="65"/>
      <c r="O60" s="65"/>
      <c r="P60" s="65"/>
      <c r="Q60" s="65"/>
      <c r="R60" s="65"/>
      <c r="S60" s="65"/>
      <c r="T60" s="65"/>
      <c r="U60" s="65"/>
      <c r="V60" s="65"/>
      <c r="W60" s="65"/>
      <c r="X60" s="65"/>
      <c r="Y60" s="65"/>
      <c r="Z60" s="66"/>
    </row>
    <row r="61" spans="1:36" x14ac:dyDescent="0.3">
      <c r="A61" s="64"/>
      <c r="B61" s="65"/>
      <c r="C61" s="65"/>
      <c r="D61" s="65"/>
      <c r="E61" s="65"/>
      <c r="F61" s="65"/>
      <c r="G61" s="65"/>
      <c r="H61" s="65"/>
      <c r="I61" s="65"/>
      <c r="J61" s="65"/>
      <c r="K61" s="65"/>
      <c r="L61" s="65"/>
      <c r="M61" s="65"/>
      <c r="N61" s="65"/>
      <c r="O61" s="65"/>
      <c r="P61" s="65"/>
      <c r="Q61" s="65"/>
      <c r="R61" s="65"/>
      <c r="S61" s="65"/>
      <c r="T61" s="65"/>
      <c r="U61" s="65"/>
      <c r="V61" s="65"/>
      <c r="W61" s="65"/>
      <c r="X61" s="65"/>
      <c r="Y61" s="65"/>
      <c r="Z61" s="66"/>
    </row>
    <row r="62" spans="1:36" x14ac:dyDescent="0.3">
      <c r="A62" s="64"/>
      <c r="B62" s="65"/>
      <c r="C62" s="65"/>
      <c r="D62" s="65"/>
      <c r="E62" s="65"/>
      <c r="F62" s="65"/>
      <c r="G62" s="65"/>
      <c r="H62" s="65"/>
      <c r="I62" s="65"/>
      <c r="J62" s="65"/>
      <c r="K62" s="65"/>
      <c r="L62" s="65"/>
      <c r="M62" s="65"/>
      <c r="N62" s="65"/>
      <c r="O62" s="65"/>
      <c r="P62" s="65"/>
      <c r="Q62" s="65"/>
      <c r="R62" s="65"/>
      <c r="S62" s="65"/>
      <c r="T62" s="65"/>
      <c r="U62" s="65"/>
      <c r="V62" s="65"/>
      <c r="W62" s="65"/>
      <c r="X62" s="65"/>
      <c r="Y62" s="65"/>
      <c r="Z62" s="66"/>
    </row>
    <row r="63" spans="1:36" x14ac:dyDescent="0.3">
      <c r="A63" s="64"/>
      <c r="B63" s="65"/>
      <c r="C63" s="65"/>
      <c r="D63" s="65"/>
      <c r="E63" s="65"/>
      <c r="F63" s="65"/>
      <c r="G63" s="65"/>
      <c r="H63" s="65"/>
      <c r="I63" s="65"/>
      <c r="J63" s="65"/>
      <c r="K63" s="65"/>
      <c r="L63" s="65"/>
      <c r="M63" s="65"/>
      <c r="N63" s="65"/>
      <c r="O63" s="65"/>
      <c r="P63" s="65"/>
      <c r="Q63" s="65"/>
      <c r="R63" s="65"/>
      <c r="S63" s="65"/>
      <c r="T63" s="65"/>
      <c r="U63" s="65"/>
      <c r="V63" s="65"/>
      <c r="W63" s="65"/>
      <c r="X63" s="65"/>
      <c r="Y63" s="65"/>
      <c r="Z63" s="66"/>
    </row>
    <row r="64" spans="1:36" s="80" customFormat="1" ht="21" x14ac:dyDescent="0.4">
      <c r="A64" s="77"/>
      <c r="B64" s="78"/>
      <c r="C64" s="78"/>
      <c r="D64" s="78"/>
      <c r="E64" s="78"/>
      <c r="F64" s="78"/>
      <c r="G64" s="78"/>
      <c r="H64" s="108" t="e">
        <f>_xlfn.CONCAT("Je scoort een algemeen gemiddelde van ",S12*100,"% over alle thema's heen. ",IF(S12&lt;Lijsten!X5,Lijsten!Z6,IF(S12&lt;Lijsten!X4,Lijsten!Z5,IF(S12&lt;Lijsten!X3,Lijsten!Z4,IF(S12&lt;Lijsten!X2,Lijsten!Z3,IF(S12=Lijsten!X2,Lijsten!Z2,""))))))</f>
        <v>#N/A</v>
      </c>
      <c r="I64" s="108"/>
      <c r="J64" s="108"/>
      <c r="K64" s="108"/>
      <c r="L64" s="108"/>
      <c r="M64" s="108"/>
      <c r="N64" s="108"/>
      <c r="O64" s="108"/>
      <c r="P64" s="108"/>
      <c r="Q64" s="108"/>
      <c r="R64" s="108"/>
      <c r="S64" s="108"/>
      <c r="T64" s="108"/>
      <c r="U64" s="108"/>
      <c r="V64" s="108"/>
      <c r="W64" s="108"/>
      <c r="X64" s="108"/>
      <c r="Y64" s="108"/>
      <c r="Z64" s="109"/>
      <c r="AA64" s="79"/>
      <c r="AB64" s="79"/>
      <c r="AC64" s="79"/>
      <c r="AD64" s="79"/>
      <c r="AE64" s="79"/>
      <c r="AF64" s="79"/>
      <c r="AG64" s="79"/>
      <c r="AH64" s="79"/>
      <c r="AI64" s="79"/>
      <c r="AJ64" s="79"/>
    </row>
    <row r="65" spans="1:36" s="80" customFormat="1" ht="21" x14ac:dyDescent="0.4">
      <c r="A65" s="77"/>
      <c r="B65" s="78"/>
      <c r="C65" s="78"/>
      <c r="D65" s="78"/>
      <c r="E65" s="78"/>
      <c r="F65" s="78"/>
      <c r="G65" s="78"/>
      <c r="H65" s="108"/>
      <c r="I65" s="108"/>
      <c r="J65" s="108"/>
      <c r="K65" s="108"/>
      <c r="L65" s="108"/>
      <c r="M65" s="108"/>
      <c r="N65" s="108"/>
      <c r="O65" s="108"/>
      <c r="P65" s="108"/>
      <c r="Q65" s="108"/>
      <c r="R65" s="108"/>
      <c r="S65" s="108"/>
      <c r="T65" s="108"/>
      <c r="U65" s="108"/>
      <c r="V65" s="108"/>
      <c r="W65" s="108"/>
      <c r="X65" s="108"/>
      <c r="Y65" s="108"/>
      <c r="Z65" s="109"/>
      <c r="AA65" s="79"/>
      <c r="AB65" s="79"/>
      <c r="AC65" s="79"/>
      <c r="AD65" s="79"/>
      <c r="AE65" s="79"/>
      <c r="AF65" s="79"/>
      <c r="AG65" s="79"/>
      <c r="AH65" s="79"/>
      <c r="AI65" s="79"/>
      <c r="AJ65" s="79"/>
    </row>
    <row r="66" spans="1:36" s="80" customFormat="1" ht="21" x14ac:dyDescent="0.4">
      <c r="A66" s="77"/>
      <c r="B66" s="78"/>
      <c r="C66" s="78"/>
      <c r="D66" s="78"/>
      <c r="E66" s="78"/>
      <c r="F66" s="78"/>
      <c r="G66" s="78"/>
      <c r="H66" s="78" t="e">
        <f>IF(AE12&lt;1,_xlfn.CONCAT("De thema's waarop je nog het meeste kunt verbeteren, zijn ",AD10,", ",AD11," en ",AD12,"."),IF(AE11&lt;1,_xlfn.CONCAT("De thema's waarop je nog het meeste kunt verbeteren, zijn ",AD10," en ",AD11,"."),IF(AE10,_xlfn.CONCAT("Op het thema ",AD10," kan je nog verbeteren."),"Je scoort reeds maximaal op alle thema's.")))</f>
        <v>#DIV/0!</v>
      </c>
      <c r="I66" s="78"/>
      <c r="J66" s="78"/>
      <c r="K66" s="78"/>
      <c r="L66" s="78"/>
      <c r="M66" s="78"/>
      <c r="N66" s="78"/>
      <c r="O66" s="78"/>
      <c r="P66" s="78"/>
      <c r="Q66" s="78"/>
      <c r="R66" s="78"/>
      <c r="S66" s="78"/>
      <c r="T66" s="78"/>
      <c r="U66" s="78"/>
      <c r="V66" s="78"/>
      <c r="W66" s="78"/>
      <c r="X66" s="78"/>
      <c r="Y66" s="78"/>
      <c r="Z66" s="81"/>
      <c r="AA66" s="79"/>
      <c r="AB66" s="79"/>
      <c r="AC66" s="79"/>
      <c r="AD66" s="79"/>
      <c r="AE66" s="79"/>
      <c r="AF66" s="79"/>
      <c r="AG66" s="79"/>
      <c r="AH66" s="79"/>
      <c r="AI66" s="79"/>
      <c r="AJ66" s="79"/>
    </row>
    <row r="67" spans="1:36" s="80" customFormat="1" ht="21" x14ac:dyDescent="0.4">
      <c r="A67" s="77"/>
      <c r="B67" s="78"/>
      <c r="C67" s="78"/>
      <c r="D67" s="78"/>
      <c r="E67" s="78"/>
      <c r="F67" s="78"/>
      <c r="G67" s="78"/>
      <c r="H67" s="78"/>
      <c r="I67" s="78"/>
      <c r="J67" s="78"/>
      <c r="K67" s="78"/>
      <c r="L67" s="78"/>
      <c r="M67" s="78"/>
      <c r="N67" s="78"/>
      <c r="O67" s="78"/>
      <c r="P67" s="78"/>
      <c r="Q67" s="78"/>
      <c r="R67" s="78"/>
      <c r="S67" s="78"/>
      <c r="T67" s="78"/>
      <c r="U67" s="78"/>
      <c r="V67" s="78"/>
      <c r="W67" s="78"/>
      <c r="X67" s="78"/>
      <c r="Y67" s="78"/>
      <c r="Z67" s="81"/>
      <c r="AA67" s="79"/>
      <c r="AB67" s="79"/>
      <c r="AC67" s="79"/>
      <c r="AD67" s="79"/>
      <c r="AE67" s="79"/>
      <c r="AF67" s="79"/>
      <c r="AG67" s="79"/>
      <c r="AH67" s="79"/>
      <c r="AI67" s="79"/>
      <c r="AJ67" s="79"/>
    </row>
    <row r="68" spans="1:36" s="80" customFormat="1" ht="21" x14ac:dyDescent="0.4">
      <c r="A68" s="77"/>
      <c r="B68" s="78"/>
      <c r="C68" s="78"/>
      <c r="D68" s="78"/>
      <c r="E68" s="78"/>
      <c r="F68" s="78"/>
      <c r="G68" s="78"/>
      <c r="H68" s="82"/>
      <c r="I68" s="78"/>
      <c r="J68" s="78"/>
      <c r="K68" s="78"/>
      <c r="L68" s="78"/>
      <c r="M68" s="78"/>
      <c r="N68" s="78"/>
      <c r="O68" s="78"/>
      <c r="P68" s="78"/>
      <c r="Q68" s="78"/>
      <c r="R68" s="78"/>
      <c r="S68" s="78"/>
      <c r="T68" s="78"/>
      <c r="U68" s="78"/>
      <c r="V68" s="78"/>
      <c r="W68" s="78"/>
      <c r="X68" s="78"/>
      <c r="Y68" s="78"/>
      <c r="Z68" s="81"/>
      <c r="AA68" s="79"/>
      <c r="AB68" s="79"/>
      <c r="AC68" s="79"/>
      <c r="AD68" s="79"/>
      <c r="AE68" s="79"/>
      <c r="AF68" s="79"/>
      <c r="AG68" s="79"/>
      <c r="AH68" s="79"/>
      <c r="AI68" s="79"/>
      <c r="AJ68" s="79"/>
    </row>
    <row r="69" spans="1:36" s="80" customFormat="1" ht="21" x14ac:dyDescent="0.4">
      <c r="A69" s="77"/>
      <c r="B69" s="78"/>
      <c r="C69" s="78"/>
      <c r="D69" s="78"/>
      <c r="E69" s="78"/>
      <c r="F69" s="78"/>
      <c r="G69" s="78"/>
      <c r="H69" s="82"/>
      <c r="I69" s="78"/>
      <c r="J69" s="78"/>
      <c r="K69" s="78"/>
      <c r="L69" s="78"/>
      <c r="M69" s="78"/>
      <c r="N69" s="78"/>
      <c r="O69" s="78"/>
      <c r="P69" s="78"/>
      <c r="Q69" s="78"/>
      <c r="R69" s="78"/>
      <c r="S69" s="78"/>
      <c r="T69" s="78"/>
      <c r="U69" s="78"/>
      <c r="V69" s="78"/>
      <c r="W69" s="78"/>
      <c r="X69" s="78"/>
      <c r="Y69" s="78"/>
      <c r="Z69" s="81"/>
      <c r="AA69" s="79"/>
      <c r="AB69" s="79"/>
      <c r="AC69" s="79"/>
      <c r="AD69" s="79"/>
      <c r="AE69" s="79"/>
      <c r="AF69" s="79"/>
      <c r="AG69" s="79"/>
      <c r="AH69" s="79"/>
      <c r="AI69" s="79"/>
      <c r="AJ69" s="79"/>
    </row>
    <row r="70" spans="1:36" s="80" customFormat="1" ht="21" x14ac:dyDescent="0.4">
      <c r="A70" s="77"/>
      <c r="B70" s="78"/>
      <c r="C70" s="78"/>
      <c r="D70" s="78"/>
      <c r="E70" s="78"/>
      <c r="F70" s="78"/>
      <c r="G70" s="78"/>
      <c r="H70" s="82"/>
      <c r="I70" s="78"/>
      <c r="J70" s="78"/>
      <c r="K70" s="78"/>
      <c r="L70" s="78"/>
      <c r="M70" s="78"/>
      <c r="N70" s="78"/>
      <c r="O70" s="78"/>
      <c r="P70" s="78"/>
      <c r="Q70" s="78"/>
      <c r="R70" s="78"/>
      <c r="S70" s="78"/>
      <c r="T70" s="78"/>
      <c r="U70" s="78"/>
      <c r="V70" s="78"/>
      <c r="W70" s="78"/>
      <c r="X70" s="78"/>
      <c r="Y70" s="78"/>
      <c r="Z70" s="81"/>
      <c r="AA70" s="79"/>
      <c r="AB70" s="79"/>
      <c r="AC70" s="79"/>
      <c r="AD70" s="79"/>
      <c r="AE70" s="79"/>
      <c r="AF70" s="79"/>
      <c r="AG70" s="79"/>
      <c r="AH70" s="79"/>
      <c r="AI70" s="79"/>
      <c r="AJ70" s="79"/>
    </row>
    <row r="71" spans="1:36" s="80" customFormat="1" ht="21" x14ac:dyDescent="0.4">
      <c r="A71" s="77"/>
      <c r="B71" s="78"/>
      <c r="C71" s="78"/>
      <c r="D71" s="78"/>
      <c r="E71" s="78"/>
      <c r="F71" s="78"/>
      <c r="G71" s="78"/>
      <c r="H71" s="78"/>
      <c r="I71" s="78"/>
      <c r="J71" s="78"/>
      <c r="K71" s="78"/>
      <c r="L71" s="78"/>
      <c r="M71" s="78"/>
      <c r="N71" s="78"/>
      <c r="O71" s="78"/>
      <c r="P71" s="78"/>
      <c r="Q71" s="78"/>
      <c r="R71" s="78"/>
      <c r="S71" s="78"/>
      <c r="T71" s="78"/>
      <c r="U71" s="78"/>
      <c r="V71" s="78"/>
      <c r="W71" s="78"/>
      <c r="X71" s="78"/>
      <c r="Y71" s="78"/>
      <c r="Z71" s="81"/>
      <c r="AA71" s="79"/>
      <c r="AB71" s="79"/>
      <c r="AC71" s="79"/>
      <c r="AD71" s="79"/>
      <c r="AE71" s="79"/>
      <c r="AF71" s="79"/>
      <c r="AG71" s="79"/>
      <c r="AH71" s="79"/>
      <c r="AI71" s="79"/>
      <c r="AJ71" s="79"/>
    </row>
    <row r="72" spans="1:36" s="80" customFormat="1" ht="21" x14ac:dyDescent="0.4">
      <c r="A72" s="77"/>
      <c r="B72" s="78"/>
      <c r="C72" s="78"/>
      <c r="D72" s="78"/>
      <c r="E72" s="78"/>
      <c r="F72" s="78"/>
      <c r="G72" s="78"/>
      <c r="H72" s="78"/>
      <c r="I72" s="78"/>
      <c r="J72" s="78"/>
      <c r="K72" s="78"/>
      <c r="L72" s="78"/>
      <c r="M72" s="78"/>
      <c r="N72" s="78"/>
      <c r="O72" s="78"/>
      <c r="P72" s="78"/>
      <c r="Q72" s="78"/>
      <c r="R72" s="78"/>
      <c r="S72" s="78"/>
      <c r="T72" s="78"/>
      <c r="U72" s="78"/>
      <c r="V72" s="78"/>
      <c r="W72" s="78"/>
      <c r="X72" s="78"/>
      <c r="Y72" s="78"/>
      <c r="Z72" s="81"/>
      <c r="AA72" s="79"/>
      <c r="AB72" s="79"/>
      <c r="AC72" s="79"/>
      <c r="AD72" s="79"/>
      <c r="AE72" s="79"/>
      <c r="AF72" s="79"/>
      <c r="AG72" s="79"/>
      <c r="AH72" s="79"/>
      <c r="AI72" s="79"/>
      <c r="AJ72" s="79"/>
    </row>
    <row r="73" spans="1:36" s="80" customFormat="1" ht="21" x14ac:dyDescent="0.4">
      <c r="A73" s="77"/>
      <c r="B73" s="78"/>
      <c r="C73" s="78"/>
      <c r="D73" s="78"/>
      <c r="E73" s="78"/>
      <c r="F73" s="78"/>
      <c r="G73" s="78"/>
      <c r="H73" s="78"/>
      <c r="I73" s="78"/>
      <c r="J73" s="78"/>
      <c r="K73" s="78"/>
      <c r="L73" s="78"/>
      <c r="M73" s="78"/>
      <c r="N73" s="78"/>
      <c r="O73" s="78"/>
      <c r="P73" s="78"/>
      <c r="Q73" s="78"/>
      <c r="R73" s="78"/>
      <c r="S73" s="78"/>
      <c r="T73" s="78"/>
      <c r="U73" s="78"/>
      <c r="V73" s="78"/>
      <c r="W73" s="78"/>
      <c r="X73" s="78"/>
      <c r="Y73" s="78"/>
      <c r="Z73" s="81"/>
      <c r="AA73" s="79"/>
      <c r="AB73" s="79"/>
      <c r="AC73" s="79"/>
      <c r="AD73" s="79"/>
      <c r="AE73" s="79"/>
      <c r="AF73" s="79"/>
      <c r="AG73" s="79"/>
      <c r="AH73" s="79"/>
      <c r="AI73" s="79"/>
      <c r="AJ73" s="79"/>
    </row>
    <row r="74" spans="1:36" s="80" customFormat="1" ht="21" x14ac:dyDescent="0.4">
      <c r="A74" s="77"/>
      <c r="B74" s="78"/>
      <c r="C74" s="78"/>
      <c r="D74" s="78"/>
      <c r="E74" s="78"/>
      <c r="F74" s="78"/>
      <c r="G74" s="78"/>
      <c r="H74" s="78"/>
      <c r="I74" s="78"/>
      <c r="J74" s="78"/>
      <c r="K74" s="78"/>
      <c r="L74" s="78"/>
      <c r="M74" s="78"/>
      <c r="N74" s="78"/>
      <c r="O74" s="78"/>
      <c r="P74" s="78"/>
      <c r="Q74" s="78"/>
      <c r="R74" s="78"/>
      <c r="S74" s="78"/>
      <c r="T74" s="78"/>
      <c r="U74" s="78"/>
      <c r="V74" s="78"/>
      <c r="W74" s="78"/>
      <c r="X74" s="78"/>
      <c r="Y74" s="78"/>
      <c r="Z74" s="81"/>
      <c r="AA74" s="79"/>
      <c r="AB74" s="79"/>
      <c r="AC74" s="79"/>
      <c r="AD74" s="79"/>
      <c r="AE74" s="79"/>
      <c r="AF74" s="79"/>
      <c r="AG74" s="79"/>
      <c r="AH74" s="79"/>
      <c r="AI74" s="79"/>
      <c r="AJ74" s="79"/>
    </row>
    <row r="75" spans="1:36" s="80" customFormat="1" ht="21" x14ac:dyDescent="0.4">
      <c r="A75" s="77"/>
      <c r="B75" s="78"/>
      <c r="C75" s="78"/>
      <c r="D75" s="78"/>
      <c r="E75" s="78"/>
      <c r="F75" s="78"/>
      <c r="G75" s="78"/>
      <c r="H75" s="78"/>
      <c r="I75" s="78"/>
      <c r="J75" s="78"/>
      <c r="K75" s="78"/>
      <c r="L75" s="78"/>
      <c r="M75" s="78"/>
      <c r="N75" s="78"/>
      <c r="O75" s="78"/>
      <c r="P75" s="78"/>
      <c r="Q75" s="78"/>
      <c r="R75" s="78"/>
      <c r="S75" s="78"/>
      <c r="T75" s="78"/>
      <c r="U75" s="78"/>
      <c r="V75" s="78"/>
      <c r="W75" s="78"/>
      <c r="X75" s="78"/>
      <c r="Y75" s="78"/>
      <c r="Z75" s="81"/>
      <c r="AA75" s="79"/>
      <c r="AB75" s="79"/>
      <c r="AC75" s="79"/>
      <c r="AD75" s="79"/>
      <c r="AE75" s="79"/>
      <c r="AF75" s="79"/>
      <c r="AG75" s="79"/>
      <c r="AH75" s="79"/>
      <c r="AI75" s="79"/>
      <c r="AJ75" s="79"/>
    </row>
    <row r="76" spans="1:36" s="80" customFormat="1" ht="21.6" thickBot="1" x14ac:dyDescent="0.45">
      <c r="A76" s="83"/>
      <c r="B76" s="84"/>
      <c r="C76" s="84"/>
      <c r="D76" s="84"/>
      <c r="E76" s="84"/>
      <c r="F76" s="84"/>
      <c r="G76" s="84"/>
      <c r="H76" s="84"/>
      <c r="I76" s="84"/>
      <c r="J76" s="84"/>
      <c r="K76" s="84"/>
      <c r="L76" s="84"/>
      <c r="M76" s="84"/>
      <c r="N76" s="84"/>
      <c r="O76" s="84"/>
      <c r="P76" s="84"/>
      <c r="Q76" s="84"/>
      <c r="R76" s="84"/>
      <c r="S76" s="84"/>
      <c r="T76" s="84"/>
      <c r="U76" s="84"/>
      <c r="V76" s="84"/>
      <c r="W76" s="84"/>
      <c r="X76" s="84"/>
      <c r="Y76" s="84"/>
      <c r="Z76" s="85"/>
      <c r="AA76" s="79"/>
      <c r="AB76" s="79"/>
      <c r="AC76" s="79"/>
      <c r="AD76" s="79"/>
      <c r="AE76" s="79"/>
      <c r="AF76" s="79"/>
      <c r="AG76" s="79"/>
      <c r="AH76" s="79"/>
      <c r="AI76" s="79"/>
      <c r="AJ76" s="79"/>
    </row>
    <row r="77" spans="1:36" s="80" customFormat="1" ht="33" x14ac:dyDescent="0.65">
      <c r="A77" s="86" t="s">
        <v>84</v>
      </c>
      <c r="B77" s="87"/>
      <c r="C77" s="87"/>
      <c r="D77" s="87"/>
      <c r="E77" s="87"/>
      <c r="F77" s="87"/>
      <c r="G77" s="87"/>
      <c r="H77" s="87"/>
      <c r="I77" s="87"/>
      <c r="J77" s="87"/>
      <c r="K77" s="87"/>
      <c r="L77" s="87"/>
      <c r="M77" s="87"/>
      <c r="N77" s="87"/>
      <c r="O77" s="87"/>
      <c r="P77" s="87"/>
      <c r="Q77" s="87"/>
      <c r="R77" s="87"/>
      <c r="S77" s="87"/>
      <c r="T77" s="87"/>
      <c r="U77" s="87"/>
      <c r="V77" s="87"/>
      <c r="W77" s="87"/>
      <c r="X77" s="87"/>
      <c r="Y77" s="87"/>
      <c r="Z77" s="88"/>
      <c r="AA77" s="79"/>
      <c r="AB77" s="79" t="str">
        <f>IF(J12&lt;Lijsten!X5,Lijsten!Y6,IF(J12&lt;Lijsten!X4,Lijsten!Y5,IF(J12&lt;Lijsten!X3,Lijsten!Y4,IF(J12&lt;Lijsten!X2,Lijsten!Y3,IF(J12=Lijsten!X2,Lijsten!Y2,"")))))</f>
        <v xml:space="preserve">Je bent zwaar  gebuisd op dit thema. Door onderstaande adviezen ter harte te nemen, kan je veel succesvoller worden. </v>
      </c>
      <c r="AC77" s="79"/>
      <c r="AD77" s="79"/>
      <c r="AE77" s="79"/>
      <c r="AF77" s="79"/>
      <c r="AG77" s="79"/>
      <c r="AH77" s="79"/>
      <c r="AI77" s="79"/>
      <c r="AJ77" s="79"/>
    </row>
    <row r="78" spans="1:36" s="80" customFormat="1" ht="21" x14ac:dyDescent="0.4">
      <c r="A78" s="77"/>
      <c r="B78" s="78"/>
      <c r="C78" s="78"/>
      <c r="D78" s="78"/>
      <c r="E78" s="78"/>
      <c r="F78" s="78"/>
      <c r="G78" s="78"/>
      <c r="H78" s="78"/>
      <c r="I78" s="89" t="s">
        <v>85</v>
      </c>
      <c r="J78" s="78"/>
      <c r="K78" s="78"/>
      <c r="L78" s="78"/>
      <c r="M78" s="78"/>
      <c r="N78" s="78"/>
      <c r="O78" s="78"/>
      <c r="P78" s="78"/>
      <c r="Q78" s="78"/>
      <c r="R78" s="78"/>
      <c r="S78" s="78"/>
      <c r="T78" s="78"/>
      <c r="U78" s="78"/>
      <c r="V78" s="78"/>
      <c r="W78" s="78"/>
      <c r="X78" s="78"/>
      <c r="Y78" s="78"/>
      <c r="Z78" s="81"/>
      <c r="AA78" s="79"/>
      <c r="AB78" s="79" t="s">
        <v>86</v>
      </c>
      <c r="AC78" s="79" t="s">
        <v>20</v>
      </c>
      <c r="AD78" s="79" t="s">
        <v>87</v>
      </c>
      <c r="AE78" s="79" t="s">
        <v>88</v>
      </c>
      <c r="AF78" s="79" t="s">
        <v>89</v>
      </c>
      <c r="AG78" s="79" t="s">
        <v>90</v>
      </c>
      <c r="AH78" s="79"/>
      <c r="AI78" s="79"/>
      <c r="AJ78" s="79"/>
    </row>
    <row r="79" spans="1:36" s="80" customFormat="1" ht="21" x14ac:dyDescent="0.4">
      <c r="A79" s="77"/>
      <c r="B79" s="78"/>
      <c r="C79" s="78"/>
      <c r="D79" s="78"/>
      <c r="E79" s="78"/>
      <c r="F79" s="78"/>
      <c r="G79" s="78"/>
      <c r="H79" s="78"/>
      <c r="I79" s="78"/>
      <c r="J79" s="78"/>
      <c r="K79" s="78"/>
      <c r="L79" s="78"/>
      <c r="M79" s="78"/>
      <c r="N79" s="78"/>
      <c r="O79" s="78"/>
      <c r="P79" s="78"/>
      <c r="Q79" s="78"/>
      <c r="R79" s="78"/>
      <c r="S79" s="78"/>
      <c r="T79" s="78"/>
      <c r="U79" s="78"/>
      <c r="V79" s="78"/>
      <c r="W79" s="78"/>
      <c r="X79" s="78"/>
      <c r="Y79" s="78"/>
      <c r="Z79" s="81"/>
      <c r="AA79" s="79"/>
      <c r="AB79" s="79" t="s">
        <v>91</v>
      </c>
      <c r="AC79" s="79">
        <f>Zaai!C8</f>
        <v>0</v>
      </c>
      <c r="AD79" s="79">
        <f>Scoring!N15</f>
        <v>2</v>
      </c>
      <c r="AE79" s="79">
        <f>IF(SUM(AC79:AC80)=SUM(AD79:AD80),1,0)</f>
        <v>0</v>
      </c>
      <c r="AF79" s="79">
        <f>IF(AND(SUM(AC79:AC80)&gt;(SUM(AD79:AD80)/2),SUM(AC79:AC80)&lt;SUM(AD79:AD80)),1,0)</f>
        <v>0</v>
      </c>
      <c r="AG79" s="79">
        <f>IF(OR(SUM(AC79:AC80)&lt;(SUM(AD79:AD80)/2),SUM(AC79:AC80)=(SUM(AD79:AD80)/2)),1,0)</f>
        <v>1</v>
      </c>
      <c r="AH79" s="79"/>
      <c r="AI79" s="79"/>
      <c r="AJ79" s="79"/>
    </row>
    <row r="80" spans="1:36" s="80" customFormat="1" ht="21" customHeight="1" x14ac:dyDescent="0.4">
      <c r="A80" s="77"/>
      <c r="B80" s="78"/>
      <c r="C80" s="78"/>
      <c r="D80" s="78"/>
      <c r="E80" s="78"/>
      <c r="F80" s="78"/>
      <c r="G80" s="78"/>
      <c r="H80" s="78"/>
      <c r="I80" s="108" t="str">
        <f>_xlfn.CONCAT(AB77,IF(OR(Zaai!B4=Scoring!C7,Zaai!B5=Scoring!C7),Scoring!Q31,Scoring!Q32))</f>
        <v xml:space="preserve">Je bent zwaar  gebuisd op dit thema. Door onderstaande adviezen ter harte te nemen, kan je veel succesvoller worden. Een rassenlijst kan helpen bij het maken van de meest geschikte zaadkeuze voor je perceel. Door veredeling worden er nog altijd nieuwe, beter presterende rassen ontwikkeld. Klavers kunnen de stikstofefficiëntie van je grasland sterk verhogen wanneer deze naar behoren worden beheerd. Overweeg om ook eens kruiden op te nemen in je zaaimengsel. Net zoals klavers  zijn er heel wat kruiden die kunnen bijdragen aan het klimaatrobuuster maken van je grasland. Idealieter wordt grasland ingezaaid van augustus tot oktober. Het succes zal echter afhankelijk zijn van de temperatuur en neerslag in de periode na het zaaien. Voorjaarszaai is een mogelijkheid, maar wordt omwille van de onkruiddruk en de steeds vaker voorkomende droge groeiomstandigheden in het voorjaar best als 2de keuze gezien. Gras wordt best gezaaid op een diepte van 1 - 2 cm. Het aandrukken met een rol na het zaaien, helpt het contact tussen het zaad en de bodem te verhogen wat zorgt voor een betere vochtbeschikbaarheid en kleinere kans op wegwaaien. Eveneens zorgt dit ervoor dat de bodem minder snel uitdroogd. </v>
      </c>
      <c r="J80" s="108"/>
      <c r="K80" s="108"/>
      <c r="L80" s="108"/>
      <c r="M80" s="108"/>
      <c r="N80" s="108"/>
      <c r="O80" s="108"/>
      <c r="P80" s="108"/>
      <c r="Q80" s="108"/>
      <c r="R80" s="108"/>
      <c r="S80" s="108"/>
      <c r="T80" s="108"/>
      <c r="U80" s="108"/>
      <c r="V80" s="108"/>
      <c r="W80" s="108"/>
      <c r="X80" s="108"/>
      <c r="Y80" s="108"/>
      <c r="Z80" s="109"/>
      <c r="AA80" s="79"/>
      <c r="AB80" s="79" t="s">
        <v>22</v>
      </c>
      <c r="AC80" s="79">
        <f>Zaai!C9</f>
        <v>0</v>
      </c>
      <c r="AD80" s="79">
        <f>Scoring!N19</f>
        <v>1</v>
      </c>
      <c r="AE80" s="79"/>
      <c r="AF80" s="79"/>
      <c r="AG80" s="79"/>
      <c r="AH80" s="79"/>
      <c r="AI80" s="79"/>
      <c r="AJ80" s="79"/>
    </row>
    <row r="81" spans="1:36" s="80" customFormat="1" ht="21" x14ac:dyDescent="0.4">
      <c r="A81" s="77"/>
      <c r="B81" s="78"/>
      <c r="C81" s="78"/>
      <c r="D81" s="78"/>
      <c r="E81" s="78"/>
      <c r="F81" s="78"/>
      <c r="G81" s="78"/>
      <c r="H81" s="78"/>
      <c r="I81" s="108"/>
      <c r="J81" s="108"/>
      <c r="K81" s="108"/>
      <c r="L81" s="108"/>
      <c r="M81" s="108"/>
      <c r="N81" s="108"/>
      <c r="O81" s="108"/>
      <c r="P81" s="108"/>
      <c r="Q81" s="108"/>
      <c r="R81" s="108"/>
      <c r="S81" s="108"/>
      <c r="T81" s="108"/>
      <c r="U81" s="108"/>
      <c r="V81" s="108"/>
      <c r="W81" s="108"/>
      <c r="X81" s="108"/>
      <c r="Y81" s="108"/>
      <c r="Z81" s="109"/>
      <c r="AA81" s="79"/>
      <c r="AB81" s="90" t="s">
        <v>92</v>
      </c>
      <c r="AC81" s="79" t="s">
        <v>20</v>
      </c>
      <c r="AD81" s="79" t="s">
        <v>87</v>
      </c>
      <c r="AE81" s="79" t="s">
        <v>88</v>
      </c>
      <c r="AF81" s="79" t="s">
        <v>89</v>
      </c>
      <c r="AG81" s="79" t="s">
        <v>90</v>
      </c>
      <c r="AH81" s="79"/>
      <c r="AI81" s="79"/>
      <c r="AJ81" s="79"/>
    </row>
    <row r="82" spans="1:36" s="80" customFormat="1" ht="21" x14ac:dyDescent="0.4">
      <c r="A82" s="77"/>
      <c r="B82" s="78"/>
      <c r="C82" s="78"/>
      <c r="D82" s="78"/>
      <c r="E82" s="78"/>
      <c r="F82" s="78"/>
      <c r="G82" s="78"/>
      <c r="H82" s="78"/>
      <c r="I82" s="108"/>
      <c r="J82" s="108"/>
      <c r="K82" s="108"/>
      <c r="L82" s="108"/>
      <c r="M82" s="108"/>
      <c r="N82" s="108"/>
      <c r="O82" s="108"/>
      <c r="P82" s="108"/>
      <c r="Q82" s="108"/>
      <c r="R82" s="108"/>
      <c r="S82" s="108"/>
      <c r="T82" s="108"/>
      <c r="U82" s="108"/>
      <c r="V82" s="108"/>
      <c r="W82" s="108"/>
      <c r="X82" s="108"/>
      <c r="Y82" s="108"/>
      <c r="Z82" s="109"/>
      <c r="AA82" s="90"/>
      <c r="AB82" s="90" t="s">
        <v>91</v>
      </c>
      <c r="AC82" s="79" t="str">
        <f>Zaai!C10</f>
        <v/>
      </c>
      <c r="AD82" s="79">
        <f>Scoring!N23</f>
        <v>2</v>
      </c>
      <c r="AE82" s="79">
        <f>IF(SUM(AC82:AC83)=SUM(AD82:AD83),1,0)</f>
        <v>0</v>
      </c>
      <c r="AF82" s="79">
        <f>IF(AND(SUM(AC82:AC83)&gt;(SUM(AD82:AD83)/2),SUM(AC82:AC83)&lt;SUM(AD82:AD83)),1,0)</f>
        <v>0</v>
      </c>
      <c r="AG82" s="79">
        <f>IF(OR(SUM(AC82:AC83)&lt;(SUM(AD82:AD83)/2),SUM(AC82:AC83)=(SUM(AD82:AD83)/2)),1,0)</f>
        <v>1</v>
      </c>
      <c r="AH82" s="79"/>
      <c r="AI82" s="79"/>
      <c r="AJ82" s="79"/>
    </row>
    <row r="83" spans="1:36" s="80" customFormat="1" ht="21" x14ac:dyDescent="0.4">
      <c r="A83" s="77"/>
      <c r="B83" s="78"/>
      <c r="C83" s="78"/>
      <c r="D83" s="78"/>
      <c r="E83" s="78"/>
      <c r="F83" s="78"/>
      <c r="G83" s="78"/>
      <c r="H83" s="78"/>
      <c r="I83" s="108"/>
      <c r="J83" s="108"/>
      <c r="K83" s="108"/>
      <c r="L83" s="108"/>
      <c r="M83" s="108"/>
      <c r="N83" s="108"/>
      <c r="O83" s="108"/>
      <c r="P83" s="108"/>
      <c r="Q83" s="108"/>
      <c r="R83" s="108"/>
      <c r="S83" s="108"/>
      <c r="T83" s="108"/>
      <c r="U83" s="108"/>
      <c r="V83" s="108"/>
      <c r="W83" s="108"/>
      <c r="X83" s="108"/>
      <c r="Y83" s="108"/>
      <c r="Z83" s="109"/>
      <c r="AA83" s="79"/>
      <c r="AB83" s="79" t="s">
        <v>22</v>
      </c>
      <c r="AC83" s="79" t="str">
        <f>Zaai!C11</f>
        <v/>
      </c>
      <c r="AD83" s="79">
        <f>Scoring!N25</f>
        <v>1</v>
      </c>
      <c r="AE83" s="79"/>
      <c r="AF83" s="79"/>
      <c r="AG83" s="79"/>
      <c r="AH83" s="79"/>
      <c r="AI83" s="79"/>
      <c r="AJ83" s="79"/>
    </row>
    <row r="84" spans="1:36" s="80" customFormat="1" ht="21" x14ac:dyDescent="0.4">
      <c r="A84" s="77"/>
      <c r="B84" s="78"/>
      <c r="C84" s="78"/>
      <c r="D84" s="78"/>
      <c r="E84" s="78"/>
      <c r="F84" s="78"/>
      <c r="G84" s="78"/>
      <c r="H84" s="78"/>
      <c r="I84" s="108"/>
      <c r="J84" s="108"/>
      <c r="K84" s="108"/>
      <c r="L84" s="108"/>
      <c r="M84" s="108"/>
      <c r="N84" s="108"/>
      <c r="O84" s="108"/>
      <c r="P84" s="108"/>
      <c r="Q84" s="108"/>
      <c r="R84" s="108"/>
      <c r="S84" s="108"/>
      <c r="T84" s="108"/>
      <c r="U84" s="108"/>
      <c r="V84" s="108"/>
      <c r="W84" s="108"/>
      <c r="X84" s="108"/>
      <c r="Y84" s="108"/>
      <c r="Z84" s="109"/>
      <c r="AA84" s="79"/>
      <c r="AB84" s="79" t="s">
        <v>93</v>
      </c>
      <c r="AC84" s="79" t="s">
        <v>20</v>
      </c>
      <c r="AD84" s="79" t="s">
        <v>87</v>
      </c>
      <c r="AE84" s="79" t="s">
        <v>88</v>
      </c>
      <c r="AF84" s="79" t="s">
        <v>89</v>
      </c>
      <c r="AG84" s="79" t="s">
        <v>90</v>
      </c>
      <c r="AH84" s="79"/>
      <c r="AI84" s="79"/>
      <c r="AJ84" s="79"/>
    </row>
    <row r="85" spans="1:36" s="80" customFormat="1" ht="21" x14ac:dyDescent="0.4">
      <c r="A85" s="77"/>
      <c r="B85" s="78"/>
      <c r="C85" s="78"/>
      <c r="D85" s="78"/>
      <c r="E85" s="78"/>
      <c r="F85" s="78"/>
      <c r="G85" s="78"/>
      <c r="H85" s="78"/>
      <c r="I85" s="108"/>
      <c r="J85" s="108"/>
      <c r="K85" s="108"/>
      <c r="L85" s="108"/>
      <c r="M85" s="108"/>
      <c r="N85" s="108"/>
      <c r="O85" s="108"/>
      <c r="P85" s="108"/>
      <c r="Q85" s="108"/>
      <c r="R85" s="108"/>
      <c r="S85" s="108"/>
      <c r="T85" s="108"/>
      <c r="U85" s="108"/>
      <c r="V85" s="108"/>
      <c r="W85" s="108"/>
      <c r="X85" s="108"/>
      <c r="Y85" s="108"/>
      <c r="Z85" s="109"/>
      <c r="AA85" s="79"/>
      <c r="AB85" s="79" t="s">
        <v>94</v>
      </c>
      <c r="AC85" s="79">
        <f>Zaai!C2</f>
        <v>0</v>
      </c>
      <c r="AD85" s="79">
        <f>Scoring!N4</f>
        <v>0.5</v>
      </c>
      <c r="AE85" s="79">
        <f>IF(SUM(AC85:AC89)=SUM(AD85:AD89),1,0)</f>
        <v>0</v>
      </c>
      <c r="AF85" s="79">
        <f>IF(AND(SUM(AC85:AC89)&gt;(SUM(AD85:AD89)/2),SUM(AC85:AC89)&lt;SUM(AD85:AD89)),1,0)</f>
        <v>0</v>
      </c>
      <c r="AG85" s="79">
        <f>IF(OR(SUM(AC85:AC89)&lt;(SUM(AD85:AD89)/2),SUM(AC85:AC89)=(SUM(AD85:AD89)/2)),1,0)</f>
        <v>1</v>
      </c>
      <c r="AH85" s="79"/>
      <c r="AI85" s="79"/>
      <c r="AJ85" s="79"/>
    </row>
    <row r="86" spans="1:36" s="80" customFormat="1" ht="21" x14ac:dyDescent="0.4">
      <c r="A86" s="77"/>
      <c r="B86" s="78"/>
      <c r="C86" s="78"/>
      <c r="D86" s="78"/>
      <c r="E86" s="78"/>
      <c r="F86" s="78"/>
      <c r="G86" s="78"/>
      <c r="H86" s="78"/>
      <c r="I86" s="108"/>
      <c r="J86" s="108"/>
      <c r="K86" s="108"/>
      <c r="L86" s="108"/>
      <c r="M86" s="108"/>
      <c r="N86" s="108"/>
      <c r="O86" s="108"/>
      <c r="P86" s="108"/>
      <c r="Q86" s="108"/>
      <c r="R86" s="108"/>
      <c r="S86" s="108"/>
      <c r="T86" s="108"/>
      <c r="U86" s="108"/>
      <c r="V86" s="108"/>
      <c r="W86" s="108"/>
      <c r="X86" s="108"/>
      <c r="Y86" s="108"/>
      <c r="Z86" s="109"/>
      <c r="AA86" s="79"/>
      <c r="AB86" s="79" t="s">
        <v>26</v>
      </c>
      <c r="AC86" s="79">
        <f>Zaai!C4</f>
        <v>0</v>
      </c>
      <c r="AD86" s="79">
        <f>Scoring!N7</f>
        <v>0.5</v>
      </c>
      <c r="AE86" s="79"/>
      <c r="AF86" s="79"/>
      <c r="AG86" s="79"/>
      <c r="AH86" s="79"/>
      <c r="AI86" s="79"/>
      <c r="AJ86" s="79"/>
    </row>
    <row r="87" spans="1:36" s="80" customFormat="1" ht="21" x14ac:dyDescent="0.4">
      <c r="A87" s="77"/>
      <c r="B87" s="78"/>
      <c r="C87" s="78"/>
      <c r="D87" s="78"/>
      <c r="E87" s="78"/>
      <c r="F87" s="78"/>
      <c r="G87" s="78"/>
      <c r="H87" s="78"/>
      <c r="I87" s="108"/>
      <c r="J87" s="108"/>
      <c r="K87" s="108"/>
      <c r="L87" s="108"/>
      <c r="M87" s="108"/>
      <c r="N87" s="108"/>
      <c r="O87" s="108"/>
      <c r="P87" s="108"/>
      <c r="Q87" s="108"/>
      <c r="R87" s="108"/>
      <c r="S87" s="108"/>
      <c r="T87" s="108"/>
      <c r="U87" s="108"/>
      <c r="V87" s="108"/>
      <c r="W87" s="108"/>
      <c r="X87" s="108"/>
      <c r="Y87" s="108"/>
      <c r="Z87" s="109"/>
      <c r="AA87" s="79"/>
      <c r="AB87" s="79" t="s">
        <v>95</v>
      </c>
      <c r="AC87" s="79">
        <f>Zaai!C5</f>
        <v>0</v>
      </c>
      <c r="AD87" s="79">
        <f>Scoring!N9</f>
        <v>0.5</v>
      </c>
      <c r="AE87" s="79"/>
      <c r="AF87" s="79"/>
      <c r="AG87" s="79"/>
      <c r="AH87" s="79"/>
      <c r="AI87" s="79"/>
      <c r="AJ87" s="79"/>
    </row>
    <row r="88" spans="1:36" s="80" customFormat="1" ht="21" x14ac:dyDescent="0.4">
      <c r="A88" s="77"/>
      <c r="B88" s="78"/>
      <c r="C88" s="78"/>
      <c r="D88" s="78"/>
      <c r="E88" s="78"/>
      <c r="F88" s="78"/>
      <c r="G88" s="78"/>
      <c r="H88" s="78"/>
      <c r="I88" s="108"/>
      <c r="J88" s="108"/>
      <c r="K88" s="108"/>
      <c r="L88" s="108"/>
      <c r="M88" s="108"/>
      <c r="N88" s="108"/>
      <c r="O88" s="108"/>
      <c r="P88" s="108"/>
      <c r="Q88" s="108"/>
      <c r="R88" s="108"/>
      <c r="S88" s="108"/>
      <c r="T88" s="108"/>
      <c r="U88" s="108"/>
      <c r="V88" s="108"/>
      <c r="W88" s="108"/>
      <c r="X88" s="108"/>
      <c r="Y88" s="108"/>
      <c r="Z88" s="109"/>
      <c r="AA88" s="79"/>
      <c r="AB88" s="79" t="s">
        <v>28</v>
      </c>
      <c r="AC88" s="79">
        <f>Zaai!C6</f>
        <v>0</v>
      </c>
      <c r="AD88" s="79">
        <f>Scoring!N11</f>
        <v>0.25</v>
      </c>
      <c r="AE88" s="79"/>
      <c r="AF88" s="79"/>
      <c r="AG88" s="79"/>
      <c r="AH88" s="79"/>
      <c r="AI88" s="79"/>
      <c r="AJ88" s="79"/>
    </row>
    <row r="89" spans="1:36" s="80" customFormat="1" ht="21" x14ac:dyDescent="0.4">
      <c r="A89" s="77"/>
      <c r="B89" s="78"/>
      <c r="C89" s="78"/>
      <c r="D89" s="78"/>
      <c r="E89" s="78"/>
      <c r="F89" s="78"/>
      <c r="G89" s="78"/>
      <c r="H89" s="78"/>
      <c r="I89" s="108"/>
      <c r="J89" s="108"/>
      <c r="K89" s="108"/>
      <c r="L89" s="108"/>
      <c r="M89" s="108"/>
      <c r="N89" s="108"/>
      <c r="O89" s="108"/>
      <c r="P89" s="108"/>
      <c r="Q89" s="108"/>
      <c r="R89" s="108"/>
      <c r="S89" s="108"/>
      <c r="T89" s="108"/>
      <c r="U89" s="108"/>
      <c r="V89" s="108"/>
      <c r="W89" s="108"/>
      <c r="X89" s="108"/>
      <c r="Y89" s="108"/>
      <c r="Z89" s="109"/>
      <c r="AA89" s="79"/>
      <c r="AB89" s="79" t="s">
        <v>29</v>
      </c>
      <c r="AC89" s="79">
        <f>Zaai!C7</f>
        <v>0</v>
      </c>
      <c r="AD89" s="79">
        <f>Scoring!N13</f>
        <v>0.5</v>
      </c>
      <c r="AE89" s="79"/>
      <c r="AF89" s="79"/>
      <c r="AG89" s="79"/>
      <c r="AH89" s="79"/>
      <c r="AI89" s="79"/>
      <c r="AJ89" s="79"/>
    </row>
    <row r="90" spans="1:36" s="80" customFormat="1" ht="21" x14ac:dyDescent="0.4">
      <c r="A90" s="77"/>
      <c r="B90" s="78"/>
      <c r="C90" s="78"/>
      <c r="D90" s="78"/>
      <c r="E90" s="78"/>
      <c r="F90" s="78"/>
      <c r="G90" s="78"/>
      <c r="H90" s="78"/>
      <c r="I90" s="108"/>
      <c r="J90" s="108"/>
      <c r="K90" s="108"/>
      <c r="L90" s="108"/>
      <c r="M90" s="108"/>
      <c r="N90" s="108"/>
      <c r="O90" s="108"/>
      <c r="P90" s="108"/>
      <c r="Q90" s="108"/>
      <c r="R90" s="108"/>
      <c r="S90" s="108"/>
      <c r="T90" s="108"/>
      <c r="U90" s="108"/>
      <c r="V90" s="108"/>
      <c r="W90" s="108"/>
      <c r="X90" s="108"/>
      <c r="Y90" s="108"/>
      <c r="Z90" s="109"/>
      <c r="AA90" s="79"/>
      <c r="AB90" s="79"/>
      <c r="AC90" s="79"/>
      <c r="AD90" s="79"/>
      <c r="AE90" s="79"/>
      <c r="AF90" s="79"/>
      <c r="AG90" s="79"/>
      <c r="AH90" s="79"/>
      <c r="AI90" s="79"/>
      <c r="AJ90" s="79"/>
    </row>
    <row r="91" spans="1:36" s="80" customFormat="1" ht="21" x14ac:dyDescent="0.4">
      <c r="A91" s="77"/>
      <c r="B91" s="78"/>
      <c r="C91" s="78"/>
      <c r="D91" s="78"/>
      <c r="E91" s="78"/>
      <c r="F91" s="78"/>
      <c r="G91" s="78"/>
      <c r="H91" s="78"/>
      <c r="I91" s="108"/>
      <c r="J91" s="108"/>
      <c r="K91" s="108"/>
      <c r="L91" s="108"/>
      <c r="M91" s="108"/>
      <c r="N91" s="108"/>
      <c r="O91" s="108"/>
      <c r="P91" s="108"/>
      <c r="Q91" s="108"/>
      <c r="R91" s="108"/>
      <c r="S91" s="108"/>
      <c r="T91" s="108"/>
      <c r="U91" s="108"/>
      <c r="V91" s="108"/>
      <c r="W91" s="108"/>
      <c r="X91" s="108"/>
      <c r="Y91" s="108"/>
      <c r="Z91" s="109"/>
      <c r="AA91" s="79"/>
      <c r="AB91" s="79"/>
      <c r="AC91" s="79"/>
      <c r="AD91" s="79"/>
      <c r="AE91" s="79"/>
      <c r="AF91" s="79"/>
      <c r="AG91" s="79"/>
      <c r="AH91" s="79"/>
      <c r="AI91" s="79"/>
      <c r="AJ91" s="79"/>
    </row>
    <row r="92" spans="1:36" s="80" customFormat="1" ht="21" x14ac:dyDescent="0.4">
      <c r="A92" s="77"/>
      <c r="B92" s="78"/>
      <c r="C92" s="78"/>
      <c r="D92" s="78"/>
      <c r="E92" s="78"/>
      <c r="F92" s="78"/>
      <c r="G92" s="78"/>
      <c r="H92" s="78"/>
      <c r="I92" s="108"/>
      <c r="J92" s="108"/>
      <c r="K92" s="108"/>
      <c r="L92" s="108"/>
      <c r="M92" s="108"/>
      <c r="N92" s="108"/>
      <c r="O92" s="108"/>
      <c r="P92" s="108"/>
      <c r="Q92" s="108"/>
      <c r="R92" s="108"/>
      <c r="S92" s="108"/>
      <c r="T92" s="108"/>
      <c r="U92" s="108"/>
      <c r="V92" s="108"/>
      <c r="W92" s="108"/>
      <c r="X92" s="108"/>
      <c r="Y92" s="108"/>
      <c r="Z92" s="109"/>
      <c r="AA92" s="79"/>
      <c r="AB92" s="79"/>
      <c r="AC92" s="79"/>
      <c r="AD92" s="79"/>
      <c r="AE92" s="79"/>
      <c r="AF92" s="79"/>
      <c r="AG92" s="79"/>
      <c r="AH92" s="79"/>
      <c r="AI92" s="79"/>
      <c r="AJ92" s="79"/>
    </row>
    <row r="93" spans="1:36" s="80" customFormat="1" ht="21" x14ac:dyDescent="0.4">
      <c r="A93" s="77"/>
      <c r="B93" s="78"/>
      <c r="C93" s="78"/>
      <c r="D93" s="78"/>
      <c r="E93" s="78"/>
      <c r="F93" s="78"/>
      <c r="G93" s="78"/>
      <c r="H93" s="78"/>
      <c r="I93" s="108"/>
      <c r="J93" s="108"/>
      <c r="K93" s="108"/>
      <c r="L93" s="108"/>
      <c r="M93" s="108"/>
      <c r="N93" s="108"/>
      <c r="O93" s="108"/>
      <c r="P93" s="108"/>
      <c r="Q93" s="108"/>
      <c r="R93" s="108"/>
      <c r="S93" s="108"/>
      <c r="T93" s="108"/>
      <c r="U93" s="108"/>
      <c r="V93" s="108"/>
      <c r="W93" s="108"/>
      <c r="X93" s="108"/>
      <c r="Y93" s="108"/>
      <c r="Z93" s="109"/>
      <c r="AA93" s="79"/>
      <c r="AB93" s="79"/>
      <c r="AC93" s="79"/>
      <c r="AD93" s="79"/>
      <c r="AE93" s="79"/>
      <c r="AF93" s="79"/>
      <c r="AG93" s="79"/>
      <c r="AH93" s="79"/>
      <c r="AI93" s="79"/>
      <c r="AJ93" s="79"/>
    </row>
    <row r="94" spans="1:36" s="80" customFormat="1" ht="21" x14ac:dyDescent="0.4">
      <c r="A94" s="77"/>
      <c r="B94" s="78"/>
      <c r="C94" s="78"/>
      <c r="D94" s="78"/>
      <c r="E94" s="78"/>
      <c r="F94" s="78"/>
      <c r="G94" s="78"/>
      <c r="H94" s="78"/>
      <c r="I94" s="108"/>
      <c r="J94" s="108"/>
      <c r="K94" s="108"/>
      <c r="L94" s="108"/>
      <c r="M94" s="108"/>
      <c r="N94" s="108"/>
      <c r="O94" s="108"/>
      <c r="P94" s="108"/>
      <c r="Q94" s="108"/>
      <c r="R94" s="108"/>
      <c r="S94" s="108"/>
      <c r="T94" s="108"/>
      <c r="U94" s="108"/>
      <c r="V94" s="108"/>
      <c r="W94" s="108"/>
      <c r="X94" s="108"/>
      <c r="Y94" s="108"/>
      <c r="Z94" s="109"/>
      <c r="AA94" s="79"/>
      <c r="AB94" s="79"/>
      <c r="AC94" s="79"/>
      <c r="AD94" s="79"/>
      <c r="AE94" s="79"/>
      <c r="AF94" s="79"/>
      <c r="AG94" s="79"/>
      <c r="AH94" s="79"/>
      <c r="AI94" s="79"/>
      <c r="AJ94" s="79"/>
    </row>
    <row r="95" spans="1:36" s="80" customFormat="1" ht="21" x14ac:dyDescent="0.4">
      <c r="A95" s="77"/>
      <c r="B95" s="78"/>
      <c r="C95" s="78"/>
      <c r="D95" s="78"/>
      <c r="E95" s="78"/>
      <c r="F95" s="78"/>
      <c r="G95" s="78"/>
      <c r="H95" s="78"/>
      <c r="I95" s="78"/>
      <c r="J95" s="78"/>
      <c r="K95" s="78"/>
      <c r="L95" s="78"/>
      <c r="M95" s="78"/>
      <c r="N95" s="78"/>
      <c r="O95" s="78"/>
      <c r="P95" s="78"/>
      <c r="Q95" s="78"/>
      <c r="R95" s="78"/>
      <c r="S95" s="78"/>
      <c r="T95" s="78"/>
      <c r="U95" s="78"/>
      <c r="V95" s="78"/>
      <c r="W95" s="78"/>
      <c r="X95" s="78"/>
      <c r="Y95" s="78"/>
      <c r="Z95" s="81"/>
      <c r="AA95" s="79"/>
      <c r="AB95" s="79"/>
      <c r="AC95" s="79"/>
      <c r="AD95" s="79"/>
      <c r="AE95" s="79"/>
      <c r="AF95" s="79"/>
      <c r="AG95" s="79"/>
      <c r="AH95" s="79"/>
      <c r="AI95" s="79"/>
      <c r="AJ95" s="79"/>
    </row>
    <row r="96" spans="1:36" s="80" customFormat="1" ht="21.6" thickBot="1" x14ac:dyDescent="0.45">
      <c r="A96" s="100"/>
      <c r="B96" s="78"/>
      <c r="C96" s="78"/>
      <c r="D96" s="78"/>
      <c r="E96" s="78"/>
      <c r="F96" s="78"/>
      <c r="G96" s="78"/>
      <c r="H96" s="78"/>
      <c r="I96" s="78"/>
      <c r="J96" s="78"/>
      <c r="K96" s="78"/>
      <c r="L96" s="78"/>
      <c r="M96" s="78"/>
      <c r="N96" s="78"/>
      <c r="O96" s="78"/>
      <c r="P96" s="78"/>
      <c r="Q96" s="78"/>
      <c r="R96" s="78"/>
      <c r="S96" s="78"/>
      <c r="T96" s="78"/>
      <c r="U96" s="78"/>
      <c r="V96" s="78"/>
      <c r="W96" s="78"/>
      <c r="X96" s="78"/>
      <c r="Y96" s="78"/>
      <c r="Z96" s="81"/>
      <c r="AA96" s="79"/>
      <c r="AB96" s="79"/>
      <c r="AC96" s="79"/>
      <c r="AD96" s="79"/>
      <c r="AE96" s="79"/>
      <c r="AF96" s="79"/>
      <c r="AG96" s="79"/>
      <c r="AH96" s="79"/>
      <c r="AI96" s="79"/>
      <c r="AJ96" s="79"/>
    </row>
    <row r="97" spans="1:36" s="80" customFormat="1" ht="33" x14ac:dyDescent="0.65">
      <c r="A97" s="86" t="s">
        <v>96</v>
      </c>
      <c r="B97" s="87"/>
      <c r="C97" s="87"/>
      <c r="D97" s="87"/>
      <c r="E97" s="87"/>
      <c r="F97" s="87"/>
      <c r="G97" s="87"/>
      <c r="H97" s="87"/>
      <c r="I97" s="87"/>
      <c r="J97" s="87"/>
      <c r="K97" s="87"/>
      <c r="L97" s="87"/>
      <c r="M97" s="87"/>
      <c r="N97" s="87"/>
      <c r="O97" s="87"/>
      <c r="P97" s="87"/>
      <c r="Q97" s="87"/>
      <c r="R97" s="87"/>
      <c r="S97" s="87"/>
      <c r="T97" s="87"/>
      <c r="U97" s="87"/>
      <c r="V97" s="87"/>
      <c r="W97" s="87"/>
      <c r="X97" s="87"/>
      <c r="Y97" s="87"/>
      <c r="Z97" s="88"/>
      <c r="AA97" s="79"/>
      <c r="AB97" s="79" t="e">
        <f>IF(B12&lt;Lijsten!X5,Lijsten!Y6,IF(B12&lt;Lijsten!X4,Lijsten!Y5,IF(B12&lt;Lijsten!X3,Lijsten!Y4,IF(B12&lt;Lijsten!X2,Lijsten!Y3,IF(B12=Lijsten!X2,Lijsten!Y2,"")))))</f>
        <v>#N/A</v>
      </c>
      <c r="AC97" s="79" t="s">
        <v>20</v>
      </c>
      <c r="AD97" s="79" t="s">
        <v>87</v>
      </c>
      <c r="AE97" s="79" t="s">
        <v>88</v>
      </c>
      <c r="AF97" s="79" t="s">
        <v>89</v>
      </c>
      <c r="AG97" s="79" t="s">
        <v>90</v>
      </c>
      <c r="AH97" s="79"/>
      <c r="AI97" s="79"/>
      <c r="AJ97" s="79"/>
    </row>
    <row r="98" spans="1:36" s="80" customFormat="1" ht="21" x14ac:dyDescent="0.4">
      <c r="A98" s="77"/>
      <c r="B98" s="78"/>
      <c r="C98" s="78"/>
      <c r="D98" s="78"/>
      <c r="E98" s="78"/>
      <c r="F98" s="78"/>
      <c r="G98" s="78"/>
      <c r="H98" s="78"/>
      <c r="I98" s="89" t="s">
        <v>85</v>
      </c>
      <c r="J98" s="78"/>
      <c r="K98" s="78"/>
      <c r="L98" s="78"/>
      <c r="M98" s="78"/>
      <c r="N98" s="78"/>
      <c r="O98" s="78"/>
      <c r="P98" s="78"/>
      <c r="Q98" s="78"/>
      <c r="R98" s="78"/>
      <c r="S98" s="78"/>
      <c r="T98" s="78"/>
      <c r="U98" s="78"/>
      <c r="V98" s="78"/>
      <c r="W98" s="78"/>
      <c r="X98" s="78"/>
      <c r="Y98" s="78"/>
      <c r="Z98" s="81"/>
      <c r="AA98" s="79"/>
      <c r="AB98" s="79" t="s">
        <v>97</v>
      </c>
      <c r="AC98" s="79">
        <f>Nutriëntenbeheer!C2</f>
        <v>0</v>
      </c>
      <c r="AD98" s="79">
        <f>Scoring!N35</f>
        <v>1</v>
      </c>
      <c r="AE98" s="79">
        <f>IF(AC98=AD98,1,0)</f>
        <v>0</v>
      </c>
      <c r="AF98" s="79"/>
      <c r="AG98" s="79">
        <f>IF(AC98&lt;AD98,1,0)</f>
        <v>1</v>
      </c>
      <c r="AH98" s="79"/>
      <c r="AI98" s="79"/>
      <c r="AJ98" s="79"/>
    </row>
    <row r="99" spans="1:36" s="80" customFormat="1" ht="21" x14ac:dyDescent="0.4">
      <c r="A99" s="77"/>
      <c r="B99" s="78"/>
      <c r="C99" s="78"/>
      <c r="D99" s="78"/>
      <c r="E99" s="78"/>
      <c r="F99" s="78"/>
      <c r="G99" s="78"/>
      <c r="H99" s="78"/>
      <c r="I99" s="78"/>
      <c r="J99" s="78"/>
      <c r="K99" s="78"/>
      <c r="L99" s="78"/>
      <c r="M99" s="78"/>
      <c r="N99" s="78"/>
      <c r="O99" s="78"/>
      <c r="P99" s="78"/>
      <c r="Q99" s="78"/>
      <c r="R99" s="78"/>
      <c r="S99" s="78"/>
      <c r="T99" s="78"/>
      <c r="U99" s="78"/>
      <c r="V99" s="78"/>
      <c r="W99" s="78"/>
      <c r="X99" s="78"/>
      <c r="Y99" s="78"/>
      <c r="Z99" s="81"/>
      <c r="AA99" s="79"/>
      <c r="AB99" s="79" t="s">
        <v>98</v>
      </c>
      <c r="AC99" s="79">
        <f>Nutriëntenbeheer!C5</f>
        <v>0</v>
      </c>
      <c r="AD99" s="79">
        <f>Scoring!N45</f>
        <v>1</v>
      </c>
      <c r="AE99" s="79">
        <f>IF(AC99=AD99,1,0)</f>
        <v>0</v>
      </c>
      <c r="AF99" s="79"/>
      <c r="AG99" s="79">
        <f>IF(AC99&lt;AD99,1,0)</f>
        <v>1</v>
      </c>
      <c r="AH99" s="79"/>
      <c r="AI99" s="79"/>
      <c r="AJ99" s="79"/>
    </row>
    <row r="100" spans="1:36" s="80" customFormat="1" ht="21" customHeight="1" x14ac:dyDescent="0.4">
      <c r="A100" s="77"/>
      <c r="B100" s="78"/>
      <c r="C100" s="78"/>
      <c r="D100" s="78"/>
      <c r="E100" s="78"/>
      <c r="F100" s="78"/>
      <c r="G100" s="78"/>
      <c r="H100" s="78"/>
      <c r="I100" s="108" t="e">
        <f>_xlfn.CONCAT(AB97,IF(OR(Zaai!B4=Scoring!C7,Zaai!B5=Scoring!C7),Scoring!Q90,Scoring!Q91))</f>
        <v>#N/A</v>
      </c>
      <c r="J100" s="108"/>
      <c r="K100" s="108"/>
      <c r="L100" s="108"/>
      <c r="M100" s="108"/>
      <c r="N100" s="108"/>
      <c r="O100" s="108"/>
      <c r="P100" s="108"/>
      <c r="Q100" s="108"/>
      <c r="R100" s="108"/>
      <c r="S100" s="108"/>
      <c r="T100" s="108"/>
      <c r="U100" s="108"/>
      <c r="V100" s="108"/>
      <c r="W100" s="108"/>
      <c r="X100" s="108"/>
      <c r="Y100" s="108"/>
      <c r="Z100" s="109"/>
      <c r="AA100" s="79"/>
      <c r="AB100" s="79" t="s">
        <v>99</v>
      </c>
      <c r="AC100" s="79">
        <f>Nutriëntenbeheer!C3</f>
        <v>0</v>
      </c>
      <c r="AD100" s="79">
        <f>Scoring!N37</f>
        <v>1</v>
      </c>
      <c r="AE100" s="79" t="e">
        <f>IF(SUM(AC100:AC101)=SUM(AD100:AD101),1,0)</f>
        <v>#N/A</v>
      </c>
      <c r="AF100" s="79" t="e">
        <f>IF(AND(SUM(AC100:AC101)&gt;(SUM(AD100:AD101)/2),SUM(AC100:AC101)&lt;SUM(AD100:AD101)),1,0)</f>
        <v>#N/A</v>
      </c>
      <c r="AG100" s="79" t="e">
        <f>IF(OR(SUM(AC100:AC101)&lt;(SUM(AD100:AD101)/2),SUM(AC100:AC101)=(SUM(AD100:AD101)/2)),1,0)</f>
        <v>#N/A</v>
      </c>
      <c r="AH100" s="79"/>
      <c r="AI100" s="79"/>
      <c r="AJ100" s="79"/>
    </row>
    <row r="101" spans="1:36" s="80" customFormat="1" ht="21" x14ac:dyDescent="0.4">
      <c r="A101" s="77"/>
      <c r="B101" s="78"/>
      <c r="C101" s="78"/>
      <c r="D101" s="78"/>
      <c r="E101" s="78"/>
      <c r="F101" s="78"/>
      <c r="G101" s="78"/>
      <c r="H101" s="78"/>
      <c r="I101" s="108"/>
      <c r="J101" s="108"/>
      <c r="K101" s="108"/>
      <c r="L101" s="108"/>
      <c r="M101" s="108"/>
      <c r="N101" s="108"/>
      <c r="O101" s="108"/>
      <c r="P101" s="108"/>
      <c r="Q101" s="108"/>
      <c r="R101" s="108"/>
      <c r="S101" s="108"/>
      <c r="T101" s="108"/>
      <c r="U101" s="108"/>
      <c r="V101" s="108"/>
      <c r="W101" s="108"/>
      <c r="X101" s="108"/>
      <c r="Y101" s="108"/>
      <c r="Z101" s="109"/>
      <c r="AA101" s="79"/>
      <c r="AB101" s="79"/>
      <c r="AC101" s="79" t="e">
        <f>Nutriëntenbeheer!C4</f>
        <v>#N/A</v>
      </c>
      <c r="AD101" s="79">
        <f>Scoring!N39</f>
        <v>1</v>
      </c>
      <c r="AE101" s="79"/>
      <c r="AF101" s="79"/>
      <c r="AG101" s="79"/>
      <c r="AH101" s="79"/>
      <c r="AI101" s="79"/>
      <c r="AJ101" s="79"/>
    </row>
    <row r="102" spans="1:36" s="80" customFormat="1" ht="21" x14ac:dyDescent="0.4">
      <c r="A102" s="77"/>
      <c r="B102" s="78"/>
      <c r="C102" s="78"/>
      <c r="D102" s="78"/>
      <c r="E102" s="78"/>
      <c r="F102" s="78"/>
      <c r="G102" s="78"/>
      <c r="H102" s="78"/>
      <c r="I102" s="108"/>
      <c r="J102" s="108"/>
      <c r="K102" s="108"/>
      <c r="L102" s="108"/>
      <c r="M102" s="108"/>
      <c r="N102" s="108"/>
      <c r="O102" s="108"/>
      <c r="P102" s="108"/>
      <c r="Q102" s="108"/>
      <c r="R102" s="108"/>
      <c r="S102" s="108"/>
      <c r="T102" s="108"/>
      <c r="U102" s="108"/>
      <c r="V102" s="108"/>
      <c r="W102" s="108"/>
      <c r="X102" s="108"/>
      <c r="Y102" s="108"/>
      <c r="Z102" s="109"/>
      <c r="AA102" s="79"/>
      <c r="AB102" s="79"/>
      <c r="AC102" s="45" t="s">
        <v>100</v>
      </c>
      <c r="AD102" s="45" t="s">
        <v>101</v>
      </c>
      <c r="AE102" s="45" t="s">
        <v>102</v>
      </c>
      <c r="AF102" s="45" t="s">
        <v>103</v>
      </c>
      <c r="AG102" s="45" t="s">
        <v>104</v>
      </c>
      <c r="AH102" s="45" t="s">
        <v>105</v>
      </c>
      <c r="AI102" s="45" t="s">
        <v>43</v>
      </c>
      <c r="AJ102" s="45" t="s">
        <v>106</v>
      </c>
    </row>
    <row r="103" spans="1:36" s="80" customFormat="1" ht="21" x14ac:dyDescent="0.4">
      <c r="A103" s="77"/>
      <c r="B103" s="78"/>
      <c r="C103" s="78"/>
      <c r="D103" s="78"/>
      <c r="E103" s="78"/>
      <c r="F103" s="78"/>
      <c r="G103" s="78"/>
      <c r="H103" s="78"/>
      <c r="I103" s="108"/>
      <c r="J103" s="108"/>
      <c r="K103" s="108"/>
      <c r="L103" s="108"/>
      <c r="M103" s="108"/>
      <c r="N103" s="108"/>
      <c r="O103" s="108"/>
      <c r="P103" s="108"/>
      <c r="Q103" s="108"/>
      <c r="R103" s="108"/>
      <c r="S103" s="108"/>
      <c r="T103" s="108"/>
      <c r="U103" s="108"/>
      <c r="V103" s="108"/>
      <c r="W103" s="108"/>
      <c r="X103" s="108"/>
      <c r="Y103" s="108"/>
      <c r="Z103" s="109"/>
      <c r="AA103" s="79"/>
      <c r="AB103" s="79"/>
      <c r="AC103" s="79">
        <f>IF(AC102=Nutriëntenbeheer!$B$4,1,0)</f>
        <v>0</v>
      </c>
      <c r="AD103" s="79">
        <f>IF(AD102=Nutriëntenbeheer!$B$4,1,0)</f>
        <v>0</v>
      </c>
      <c r="AE103" s="79">
        <f>IF(AE102=Nutriëntenbeheer!$B$4,1,0)</f>
        <v>0</v>
      </c>
      <c r="AF103" s="79">
        <f>IF(AF102=Nutriëntenbeheer!$B$4,1,0)</f>
        <v>0</v>
      </c>
      <c r="AG103" s="79">
        <f>IF(AG102=Nutriëntenbeheer!$B$4,1,0)</f>
        <v>0</v>
      </c>
      <c r="AH103" s="79">
        <f>IF(AH102=Nutriëntenbeheer!$B$4,1,0)</f>
        <v>0</v>
      </c>
      <c r="AI103" s="79">
        <f>IF(AI102=Nutriëntenbeheer!$B$4,1,0)</f>
        <v>0</v>
      </c>
      <c r="AJ103" s="79">
        <f>IF(AJ102=Nutriëntenbeheer!$B$4,1,0)</f>
        <v>0</v>
      </c>
    </row>
    <row r="104" spans="1:36" s="80" customFormat="1" ht="21" x14ac:dyDescent="0.4">
      <c r="A104" s="77"/>
      <c r="B104" s="78"/>
      <c r="C104" s="78"/>
      <c r="D104" s="78"/>
      <c r="E104" s="78"/>
      <c r="F104" s="78"/>
      <c r="G104" s="78"/>
      <c r="H104" s="78"/>
      <c r="I104" s="108"/>
      <c r="J104" s="108"/>
      <c r="K104" s="108"/>
      <c r="L104" s="108"/>
      <c r="M104" s="108"/>
      <c r="N104" s="108"/>
      <c r="O104" s="108"/>
      <c r="P104" s="108"/>
      <c r="Q104" s="108"/>
      <c r="R104" s="108"/>
      <c r="S104" s="108"/>
      <c r="T104" s="108"/>
      <c r="U104" s="108"/>
      <c r="V104" s="108"/>
      <c r="W104" s="108"/>
      <c r="X104" s="108"/>
      <c r="Y104" s="108"/>
      <c r="Z104" s="109"/>
      <c r="AA104" s="79"/>
      <c r="AB104" s="79" t="s">
        <v>107</v>
      </c>
      <c r="AC104" s="91" t="s">
        <v>46</v>
      </c>
      <c r="AD104" s="91" t="s">
        <v>47</v>
      </c>
      <c r="AE104" s="91" t="s">
        <v>48</v>
      </c>
      <c r="AF104" s="91" t="s">
        <v>49</v>
      </c>
      <c r="AG104" s="91" t="s">
        <v>50</v>
      </c>
      <c r="AH104" s="91" t="s">
        <v>51</v>
      </c>
      <c r="AI104" s="91" t="s">
        <v>52</v>
      </c>
      <c r="AJ104" s="79"/>
    </row>
    <row r="105" spans="1:36" s="80" customFormat="1" ht="21" x14ac:dyDescent="0.4">
      <c r="A105" s="77"/>
      <c r="B105" s="78"/>
      <c r="C105" s="78"/>
      <c r="D105" s="78"/>
      <c r="E105" s="78"/>
      <c r="F105" s="78"/>
      <c r="G105" s="78"/>
      <c r="H105" s="78"/>
      <c r="I105" s="108"/>
      <c r="J105" s="108"/>
      <c r="K105" s="108"/>
      <c r="L105" s="108"/>
      <c r="M105" s="108"/>
      <c r="N105" s="108"/>
      <c r="O105" s="108"/>
      <c r="P105" s="108"/>
      <c r="Q105" s="108"/>
      <c r="R105" s="108"/>
      <c r="S105" s="108"/>
      <c r="T105" s="108"/>
      <c r="U105" s="108"/>
      <c r="V105" s="108"/>
      <c r="W105" s="108"/>
      <c r="X105" s="108"/>
      <c r="Y105" s="108"/>
      <c r="Z105" s="109"/>
      <c r="AA105" s="79"/>
      <c r="AB105" s="79"/>
      <c r="AC105" s="79">
        <f>IF(Nutriëntenbeheer!B7,1,0)</f>
        <v>0</v>
      </c>
      <c r="AD105" s="79">
        <f>IF(Nutriëntenbeheer!B8,1,0)</f>
        <v>0</v>
      </c>
      <c r="AE105" s="79">
        <f>IF(Nutriëntenbeheer!B9,1,0)</f>
        <v>0</v>
      </c>
      <c r="AF105" s="79">
        <f>IF(Nutriëntenbeheer!B10,1,0)</f>
        <v>0</v>
      </c>
      <c r="AG105" s="79">
        <f>IF(Nutriëntenbeheer!B11,1,0)</f>
        <v>0</v>
      </c>
      <c r="AH105" s="79">
        <f>IF(Nutriëntenbeheer!B12,1,0)</f>
        <v>0</v>
      </c>
      <c r="AI105" s="79">
        <f>IF(Nutriëntenbeheer!B13,1,0)</f>
        <v>0</v>
      </c>
      <c r="AJ105" s="79"/>
    </row>
    <row r="106" spans="1:36" s="80" customFormat="1" ht="21" x14ac:dyDescent="0.4">
      <c r="A106" s="77"/>
      <c r="B106" s="78"/>
      <c r="C106" s="78"/>
      <c r="D106" s="78"/>
      <c r="E106" s="78"/>
      <c r="F106" s="78"/>
      <c r="G106" s="78"/>
      <c r="H106" s="78"/>
      <c r="I106" s="108"/>
      <c r="J106" s="108"/>
      <c r="K106" s="108"/>
      <c r="L106" s="108"/>
      <c r="M106" s="108"/>
      <c r="N106" s="108"/>
      <c r="O106" s="108"/>
      <c r="P106" s="108"/>
      <c r="Q106" s="108"/>
      <c r="R106" s="108"/>
      <c r="S106" s="108"/>
      <c r="T106" s="108"/>
      <c r="U106" s="108"/>
      <c r="V106" s="108"/>
      <c r="W106" s="108"/>
      <c r="X106" s="108"/>
      <c r="Y106" s="108"/>
      <c r="Z106" s="109"/>
      <c r="AA106" s="79"/>
      <c r="AB106" s="79"/>
      <c r="AC106" s="79"/>
      <c r="AD106" s="79"/>
      <c r="AE106" s="79"/>
      <c r="AF106" s="79"/>
      <c r="AG106" s="79"/>
      <c r="AH106" s="79"/>
      <c r="AI106" s="79"/>
      <c r="AJ106" s="79"/>
    </row>
    <row r="107" spans="1:36" s="80" customFormat="1" ht="21" x14ac:dyDescent="0.4">
      <c r="A107" s="77"/>
      <c r="B107" s="78"/>
      <c r="C107" s="78"/>
      <c r="D107" s="78"/>
      <c r="E107" s="78"/>
      <c r="F107" s="78"/>
      <c r="G107" s="78"/>
      <c r="H107" s="78"/>
      <c r="I107" s="108"/>
      <c r="J107" s="108"/>
      <c r="K107" s="108"/>
      <c r="L107" s="108"/>
      <c r="M107" s="108"/>
      <c r="N107" s="108"/>
      <c r="O107" s="108"/>
      <c r="P107" s="108"/>
      <c r="Q107" s="108"/>
      <c r="R107" s="108"/>
      <c r="S107" s="108"/>
      <c r="T107" s="108"/>
      <c r="U107" s="108"/>
      <c r="V107" s="108"/>
      <c r="W107" s="108"/>
      <c r="X107" s="108"/>
      <c r="Y107" s="108"/>
      <c r="Z107" s="109"/>
      <c r="AA107" s="79"/>
      <c r="AB107" s="79"/>
      <c r="AC107" s="79"/>
      <c r="AD107" s="79"/>
      <c r="AE107" s="79"/>
      <c r="AF107" s="79"/>
      <c r="AG107" s="79"/>
      <c r="AH107" s="79"/>
      <c r="AI107" s="79"/>
      <c r="AJ107" s="79"/>
    </row>
    <row r="108" spans="1:36" s="80" customFormat="1" ht="21" x14ac:dyDescent="0.4">
      <c r="A108" s="77"/>
      <c r="B108" s="78"/>
      <c r="C108" s="78"/>
      <c r="D108" s="78"/>
      <c r="E108" s="78"/>
      <c r="F108" s="78"/>
      <c r="G108" s="78"/>
      <c r="H108" s="78"/>
      <c r="I108" s="108"/>
      <c r="J108" s="108"/>
      <c r="K108" s="108"/>
      <c r="L108" s="108"/>
      <c r="M108" s="108"/>
      <c r="N108" s="108"/>
      <c r="O108" s="108"/>
      <c r="P108" s="108"/>
      <c r="Q108" s="108"/>
      <c r="R108" s="108"/>
      <c r="S108" s="108"/>
      <c r="T108" s="108"/>
      <c r="U108" s="108"/>
      <c r="V108" s="108"/>
      <c r="W108" s="108"/>
      <c r="X108" s="108"/>
      <c r="Y108" s="108"/>
      <c r="Z108" s="109"/>
      <c r="AA108" s="79"/>
      <c r="AB108" s="79"/>
      <c r="AC108" s="79"/>
      <c r="AD108" s="79"/>
      <c r="AE108" s="79"/>
      <c r="AF108" s="79"/>
      <c r="AG108" s="79"/>
      <c r="AH108" s="79"/>
      <c r="AI108" s="79"/>
      <c r="AJ108" s="79"/>
    </row>
    <row r="109" spans="1:36" s="80" customFormat="1" ht="21" x14ac:dyDescent="0.4">
      <c r="A109" s="77"/>
      <c r="B109" s="78"/>
      <c r="C109" s="78"/>
      <c r="D109" s="78"/>
      <c r="E109" s="78"/>
      <c r="F109" s="78"/>
      <c r="G109" s="78"/>
      <c r="H109" s="78"/>
      <c r="I109" s="108"/>
      <c r="J109" s="108"/>
      <c r="K109" s="108"/>
      <c r="L109" s="108"/>
      <c r="M109" s="108"/>
      <c r="N109" s="108"/>
      <c r="O109" s="108"/>
      <c r="P109" s="108"/>
      <c r="Q109" s="108"/>
      <c r="R109" s="108"/>
      <c r="S109" s="108"/>
      <c r="T109" s="108"/>
      <c r="U109" s="108"/>
      <c r="V109" s="108"/>
      <c r="W109" s="108"/>
      <c r="X109" s="108"/>
      <c r="Y109" s="108"/>
      <c r="Z109" s="109"/>
      <c r="AA109" s="79"/>
      <c r="AB109" s="79"/>
      <c r="AC109" s="79"/>
      <c r="AD109" s="79"/>
      <c r="AE109" s="79"/>
      <c r="AF109" s="79"/>
      <c r="AG109" s="79"/>
      <c r="AH109" s="79"/>
      <c r="AI109" s="79"/>
      <c r="AJ109" s="79"/>
    </row>
    <row r="110" spans="1:36" s="80" customFormat="1" ht="21" x14ac:dyDescent="0.4">
      <c r="A110" s="77"/>
      <c r="B110" s="78"/>
      <c r="C110" s="78"/>
      <c r="D110" s="78"/>
      <c r="E110" s="78"/>
      <c r="F110" s="78"/>
      <c r="G110" s="78"/>
      <c r="H110" s="78"/>
      <c r="I110" s="108"/>
      <c r="J110" s="108"/>
      <c r="K110" s="108"/>
      <c r="L110" s="108"/>
      <c r="M110" s="108"/>
      <c r="N110" s="108"/>
      <c r="O110" s="108"/>
      <c r="P110" s="108"/>
      <c r="Q110" s="108"/>
      <c r="R110" s="108"/>
      <c r="S110" s="108"/>
      <c r="T110" s="108"/>
      <c r="U110" s="108"/>
      <c r="V110" s="108"/>
      <c r="W110" s="108"/>
      <c r="X110" s="108"/>
      <c r="Y110" s="108"/>
      <c r="Z110" s="109"/>
      <c r="AA110" s="79"/>
      <c r="AB110" s="79"/>
      <c r="AC110" s="79"/>
      <c r="AD110" s="79"/>
      <c r="AE110" s="79"/>
      <c r="AF110" s="79"/>
      <c r="AG110" s="79"/>
      <c r="AH110" s="79"/>
      <c r="AI110" s="79"/>
      <c r="AJ110" s="79"/>
    </row>
    <row r="111" spans="1:36" s="80" customFormat="1" ht="21" x14ac:dyDescent="0.4">
      <c r="A111" s="77"/>
      <c r="B111" s="78"/>
      <c r="C111" s="78"/>
      <c r="D111" s="78"/>
      <c r="E111" s="78"/>
      <c r="F111" s="78"/>
      <c r="G111" s="78"/>
      <c r="H111" s="78"/>
      <c r="I111" s="108"/>
      <c r="J111" s="108"/>
      <c r="K111" s="108"/>
      <c r="L111" s="108"/>
      <c r="M111" s="108"/>
      <c r="N111" s="108"/>
      <c r="O111" s="108"/>
      <c r="P111" s="108"/>
      <c r="Q111" s="108"/>
      <c r="R111" s="108"/>
      <c r="S111" s="108"/>
      <c r="T111" s="108"/>
      <c r="U111" s="108"/>
      <c r="V111" s="108"/>
      <c r="W111" s="108"/>
      <c r="X111" s="108"/>
      <c r="Y111" s="108"/>
      <c r="Z111" s="109"/>
      <c r="AA111" s="79"/>
      <c r="AB111" s="79"/>
      <c r="AC111" s="79"/>
      <c r="AD111" s="79"/>
      <c r="AE111" s="79"/>
      <c r="AF111" s="79"/>
      <c r="AG111" s="79"/>
      <c r="AH111" s="79"/>
      <c r="AI111" s="79"/>
      <c r="AJ111" s="79"/>
    </row>
    <row r="112" spans="1:36" s="80" customFormat="1" ht="21" x14ac:dyDescent="0.4">
      <c r="A112" s="77"/>
      <c r="B112" s="78"/>
      <c r="C112" s="78"/>
      <c r="D112" s="78"/>
      <c r="E112" s="78"/>
      <c r="F112" s="78"/>
      <c r="G112" s="78"/>
      <c r="H112" s="78"/>
      <c r="I112" s="108"/>
      <c r="J112" s="108"/>
      <c r="K112" s="108"/>
      <c r="L112" s="108"/>
      <c r="M112" s="108"/>
      <c r="N112" s="108"/>
      <c r="O112" s="108"/>
      <c r="P112" s="108"/>
      <c r="Q112" s="108"/>
      <c r="R112" s="108"/>
      <c r="S112" s="108"/>
      <c r="T112" s="108"/>
      <c r="U112" s="108"/>
      <c r="V112" s="108"/>
      <c r="W112" s="108"/>
      <c r="X112" s="108"/>
      <c r="Y112" s="108"/>
      <c r="Z112" s="109"/>
      <c r="AA112" s="79"/>
      <c r="AB112" s="79"/>
      <c r="AC112" s="79"/>
      <c r="AD112" s="79"/>
      <c r="AE112" s="79"/>
      <c r="AF112" s="79"/>
      <c r="AG112" s="79"/>
      <c r="AH112" s="79"/>
      <c r="AI112" s="79"/>
      <c r="AJ112" s="79"/>
    </row>
    <row r="113" spans="1:36" s="80" customFormat="1" ht="21" x14ac:dyDescent="0.4">
      <c r="A113" s="77"/>
      <c r="B113" s="78"/>
      <c r="C113" s="78"/>
      <c r="D113" s="78"/>
      <c r="E113" s="78"/>
      <c r="F113" s="78"/>
      <c r="G113" s="78"/>
      <c r="H113" s="78"/>
      <c r="I113" s="108"/>
      <c r="J113" s="108"/>
      <c r="K113" s="108"/>
      <c r="L113" s="108"/>
      <c r="M113" s="108"/>
      <c r="N113" s="108"/>
      <c r="O113" s="108"/>
      <c r="P113" s="108"/>
      <c r="Q113" s="108"/>
      <c r="R113" s="108"/>
      <c r="S113" s="108"/>
      <c r="T113" s="108"/>
      <c r="U113" s="108"/>
      <c r="V113" s="108"/>
      <c r="W113" s="108"/>
      <c r="X113" s="108"/>
      <c r="Y113" s="108"/>
      <c r="Z113" s="109"/>
      <c r="AA113" s="79"/>
      <c r="AB113" s="79"/>
      <c r="AC113" s="79"/>
      <c r="AD113" s="79"/>
      <c r="AE113" s="79"/>
      <c r="AF113" s="79"/>
      <c r="AG113" s="79"/>
      <c r="AH113" s="79"/>
      <c r="AI113" s="79"/>
      <c r="AJ113" s="79"/>
    </row>
    <row r="114" spans="1:36" s="80" customFormat="1" ht="21" x14ac:dyDescent="0.4">
      <c r="A114" s="77"/>
      <c r="B114" s="78"/>
      <c r="C114" s="78"/>
      <c r="D114" s="78"/>
      <c r="E114" s="78"/>
      <c r="F114" s="78"/>
      <c r="G114" s="78"/>
      <c r="H114" s="78"/>
      <c r="I114" s="108"/>
      <c r="J114" s="108"/>
      <c r="K114" s="108"/>
      <c r="L114" s="108"/>
      <c r="M114" s="108"/>
      <c r="N114" s="108"/>
      <c r="O114" s="108"/>
      <c r="P114" s="108"/>
      <c r="Q114" s="108"/>
      <c r="R114" s="108"/>
      <c r="S114" s="108"/>
      <c r="T114" s="108"/>
      <c r="U114" s="108"/>
      <c r="V114" s="108"/>
      <c r="W114" s="108"/>
      <c r="X114" s="108"/>
      <c r="Y114" s="108"/>
      <c r="Z114" s="109"/>
      <c r="AA114" s="79"/>
      <c r="AB114" s="79"/>
      <c r="AC114" s="79"/>
      <c r="AD114" s="79"/>
      <c r="AE114" s="79"/>
      <c r="AF114" s="79"/>
      <c r="AG114" s="79"/>
      <c r="AH114" s="79"/>
      <c r="AI114" s="79"/>
      <c r="AJ114" s="79"/>
    </row>
    <row r="115" spans="1:36" s="80" customFormat="1" ht="21" x14ac:dyDescent="0.4">
      <c r="A115" s="77"/>
      <c r="B115" s="78"/>
      <c r="C115" s="78"/>
      <c r="D115" s="78"/>
      <c r="E115" s="78"/>
      <c r="F115" s="78"/>
      <c r="G115" s="78"/>
      <c r="H115" s="78"/>
      <c r="I115" s="108"/>
      <c r="J115" s="108"/>
      <c r="K115" s="108"/>
      <c r="L115" s="108"/>
      <c r="M115" s="108"/>
      <c r="N115" s="108"/>
      <c r="O115" s="108"/>
      <c r="P115" s="108"/>
      <c r="Q115" s="108"/>
      <c r="R115" s="108"/>
      <c r="S115" s="108"/>
      <c r="T115" s="108"/>
      <c r="U115" s="108"/>
      <c r="V115" s="108"/>
      <c r="W115" s="108"/>
      <c r="X115" s="108"/>
      <c r="Y115" s="108"/>
      <c r="Z115" s="109"/>
      <c r="AA115" s="79"/>
      <c r="AB115" s="79"/>
      <c r="AC115" s="79"/>
      <c r="AD115" s="79"/>
      <c r="AE115" s="79"/>
      <c r="AF115" s="79"/>
      <c r="AG115" s="79"/>
      <c r="AH115" s="79"/>
      <c r="AI115" s="79"/>
      <c r="AJ115" s="79"/>
    </row>
    <row r="116" spans="1:36" s="80" customFormat="1" ht="21" x14ac:dyDescent="0.4">
      <c r="A116" s="77"/>
      <c r="B116" s="78"/>
      <c r="C116" s="78"/>
      <c r="D116" s="78"/>
      <c r="E116" s="78"/>
      <c r="F116" s="78"/>
      <c r="G116" s="78"/>
      <c r="H116" s="78"/>
      <c r="I116" s="108"/>
      <c r="J116" s="108"/>
      <c r="K116" s="108"/>
      <c r="L116" s="108"/>
      <c r="M116" s="108"/>
      <c r="N116" s="108"/>
      <c r="O116" s="108"/>
      <c r="P116" s="108"/>
      <c r="Q116" s="108"/>
      <c r="R116" s="108"/>
      <c r="S116" s="108"/>
      <c r="T116" s="108"/>
      <c r="U116" s="108"/>
      <c r="V116" s="108"/>
      <c r="W116" s="108"/>
      <c r="X116" s="108"/>
      <c r="Y116" s="108"/>
      <c r="Z116" s="109"/>
      <c r="AA116" s="79"/>
      <c r="AB116" s="79"/>
      <c r="AC116" s="79"/>
      <c r="AD116" s="79"/>
      <c r="AE116" s="79"/>
      <c r="AF116" s="79"/>
      <c r="AG116" s="79"/>
      <c r="AH116" s="79"/>
      <c r="AI116" s="79"/>
      <c r="AJ116" s="79"/>
    </row>
    <row r="117" spans="1:36" s="80" customFormat="1" ht="21" x14ac:dyDescent="0.4">
      <c r="A117" s="77"/>
      <c r="B117" s="78"/>
      <c r="C117" s="78"/>
      <c r="D117" s="78"/>
      <c r="E117" s="78"/>
      <c r="F117" s="78"/>
      <c r="G117" s="78"/>
      <c r="H117" s="78"/>
      <c r="I117" s="108"/>
      <c r="J117" s="108"/>
      <c r="K117" s="108"/>
      <c r="L117" s="108"/>
      <c r="M117" s="108"/>
      <c r="N117" s="108"/>
      <c r="O117" s="108"/>
      <c r="P117" s="108"/>
      <c r="Q117" s="108"/>
      <c r="R117" s="108"/>
      <c r="S117" s="108"/>
      <c r="T117" s="108"/>
      <c r="U117" s="108"/>
      <c r="V117" s="108"/>
      <c r="W117" s="108"/>
      <c r="X117" s="108"/>
      <c r="Y117" s="108"/>
      <c r="Z117" s="109"/>
      <c r="AA117" s="79"/>
      <c r="AB117" s="79"/>
      <c r="AC117" s="79"/>
      <c r="AD117" s="79"/>
      <c r="AE117" s="79"/>
      <c r="AF117" s="79"/>
      <c r="AG117" s="79"/>
      <c r="AH117" s="79"/>
      <c r="AI117" s="79"/>
      <c r="AJ117" s="79"/>
    </row>
    <row r="118" spans="1:36" s="80" customFormat="1" ht="21" x14ac:dyDescent="0.4">
      <c r="A118" s="77"/>
      <c r="B118" s="78"/>
      <c r="C118" s="78"/>
      <c r="D118" s="78"/>
      <c r="E118" s="78"/>
      <c r="F118" s="78"/>
      <c r="G118" s="78"/>
      <c r="H118" s="78"/>
      <c r="I118" s="108"/>
      <c r="J118" s="108"/>
      <c r="K118" s="108"/>
      <c r="L118" s="108"/>
      <c r="M118" s="108"/>
      <c r="N118" s="108"/>
      <c r="O118" s="108"/>
      <c r="P118" s="108"/>
      <c r="Q118" s="108"/>
      <c r="R118" s="108"/>
      <c r="S118" s="108"/>
      <c r="T118" s="108"/>
      <c r="U118" s="108"/>
      <c r="V118" s="108"/>
      <c r="W118" s="108"/>
      <c r="X118" s="108"/>
      <c r="Y118" s="108"/>
      <c r="Z118" s="109"/>
      <c r="AA118" s="79"/>
      <c r="AB118" s="79"/>
      <c r="AC118" s="79"/>
      <c r="AD118" s="79"/>
      <c r="AE118" s="79"/>
      <c r="AF118" s="79"/>
      <c r="AG118" s="79"/>
      <c r="AH118" s="79"/>
      <c r="AI118" s="79"/>
      <c r="AJ118" s="79"/>
    </row>
    <row r="119" spans="1:36" s="80" customFormat="1" ht="21" x14ac:dyDescent="0.4">
      <c r="A119" s="77"/>
      <c r="B119" s="78"/>
      <c r="C119" s="78"/>
      <c r="D119" s="78"/>
      <c r="E119" s="78"/>
      <c r="F119" s="78"/>
      <c r="G119" s="78"/>
      <c r="H119" s="78"/>
      <c r="I119" s="108"/>
      <c r="J119" s="108"/>
      <c r="K119" s="108"/>
      <c r="L119" s="108"/>
      <c r="M119" s="108"/>
      <c r="N119" s="108"/>
      <c r="O119" s="108"/>
      <c r="P119" s="108"/>
      <c r="Q119" s="108"/>
      <c r="R119" s="108"/>
      <c r="S119" s="108"/>
      <c r="T119" s="108"/>
      <c r="U119" s="108"/>
      <c r="V119" s="108"/>
      <c r="W119" s="108"/>
      <c r="X119" s="108"/>
      <c r="Y119" s="108"/>
      <c r="Z119" s="109"/>
      <c r="AA119" s="79"/>
      <c r="AB119" s="79"/>
      <c r="AC119" s="79"/>
      <c r="AD119" s="79"/>
      <c r="AE119" s="79"/>
      <c r="AF119" s="79"/>
      <c r="AG119" s="79"/>
      <c r="AH119" s="79"/>
      <c r="AI119" s="79"/>
      <c r="AJ119" s="79"/>
    </row>
    <row r="120" spans="1:36" s="80" customFormat="1" ht="21" x14ac:dyDescent="0.4">
      <c r="A120" s="77"/>
      <c r="B120" s="78"/>
      <c r="C120" s="78"/>
      <c r="D120" s="78"/>
      <c r="E120" s="78"/>
      <c r="F120" s="78"/>
      <c r="G120" s="78"/>
      <c r="H120" s="78"/>
      <c r="I120" s="108"/>
      <c r="J120" s="108"/>
      <c r="K120" s="108"/>
      <c r="L120" s="108"/>
      <c r="M120" s="108"/>
      <c r="N120" s="108"/>
      <c r="O120" s="108"/>
      <c r="P120" s="108"/>
      <c r="Q120" s="108"/>
      <c r="R120" s="108"/>
      <c r="S120" s="108"/>
      <c r="T120" s="108"/>
      <c r="U120" s="108"/>
      <c r="V120" s="108"/>
      <c r="W120" s="108"/>
      <c r="X120" s="108"/>
      <c r="Y120" s="108"/>
      <c r="Z120" s="109"/>
      <c r="AA120" s="79"/>
      <c r="AB120" s="79"/>
      <c r="AC120" s="79"/>
      <c r="AD120" s="79"/>
      <c r="AE120" s="79"/>
      <c r="AF120" s="79"/>
      <c r="AG120" s="79"/>
      <c r="AH120" s="79"/>
      <c r="AI120" s="79"/>
      <c r="AJ120" s="79"/>
    </row>
    <row r="121" spans="1:36" s="80" customFormat="1" ht="21" x14ac:dyDescent="0.4">
      <c r="A121" s="77"/>
      <c r="B121" s="78"/>
      <c r="C121" s="78"/>
      <c r="D121" s="78"/>
      <c r="E121" s="78"/>
      <c r="F121" s="78"/>
      <c r="G121" s="78"/>
      <c r="H121" s="78"/>
      <c r="I121" s="108"/>
      <c r="J121" s="108"/>
      <c r="K121" s="108"/>
      <c r="L121" s="108"/>
      <c r="M121" s="108"/>
      <c r="N121" s="108"/>
      <c r="O121" s="108"/>
      <c r="P121" s="108"/>
      <c r="Q121" s="108"/>
      <c r="R121" s="108"/>
      <c r="S121" s="108"/>
      <c r="T121" s="108"/>
      <c r="U121" s="108"/>
      <c r="V121" s="108"/>
      <c r="W121" s="108"/>
      <c r="X121" s="108"/>
      <c r="Y121" s="108"/>
      <c r="Z121" s="109"/>
      <c r="AA121" s="79"/>
      <c r="AB121" s="79"/>
      <c r="AC121" s="79"/>
      <c r="AD121" s="79"/>
      <c r="AE121" s="79"/>
      <c r="AF121" s="79"/>
      <c r="AG121" s="79"/>
      <c r="AH121" s="79"/>
      <c r="AI121" s="79"/>
      <c r="AJ121" s="79"/>
    </row>
    <row r="122" spans="1:36" s="80" customFormat="1" ht="21" x14ac:dyDescent="0.4">
      <c r="A122" s="77"/>
      <c r="B122" s="78"/>
      <c r="C122" s="78"/>
      <c r="D122" s="78"/>
      <c r="E122" s="78"/>
      <c r="F122" s="78"/>
      <c r="G122" s="78"/>
      <c r="H122" s="78"/>
      <c r="I122" s="108"/>
      <c r="J122" s="108"/>
      <c r="K122" s="108"/>
      <c r="L122" s="108"/>
      <c r="M122" s="108"/>
      <c r="N122" s="108"/>
      <c r="O122" s="108"/>
      <c r="P122" s="108"/>
      <c r="Q122" s="108"/>
      <c r="R122" s="108"/>
      <c r="S122" s="108"/>
      <c r="T122" s="108"/>
      <c r="U122" s="108"/>
      <c r="V122" s="108"/>
      <c r="W122" s="108"/>
      <c r="X122" s="108"/>
      <c r="Y122" s="108"/>
      <c r="Z122" s="109"/>
      <c r="AA122" s="79"/>
      <c r="AB122" s="79"/>
      <c r="AC122" s="79"/>
      <c r="AD122" s="79"/>
      <c r="AE122" s="79"/>
      <c r="AF122" s="79"/>
      <c r="AG122" s="79"/>
      <c r="AH122" s="79"/>
      <c r="AI122" s="79"/>
      <c r="AJ122" s="79"/>
    </row>
    <row r="123" spans="1:36" s="80" customFormat="1" ht="21" x14ac:dyDescent="0.4">
      <c r="A123" s="77"/>
      <c r="B123" s="78"/>
      <c r="C123" s="78"/>
      <c r="D123" s="78"/>
      <c r="E123" s="78"/>
      <c r="F123" s="78"/>
      <c r="G123" s="78"/>
      <c r="H123" s="78"/>
      <c r="I123" s="108"/>
      <c r="J123" s="108"/>
      <c r="K123" s="108"/>
      <c r="L123" s="108"/>
      <c r="M123" s="108"/>
      <c r="N123" s="108"/>
      <c r="O123" s="108"/>
      <c r="P123" s="108"/>
      <c r="Q123" s="108"/>
      <c r="R123" s="108"/>
      <c r="S123" s="108"/>
      <c r="T123" s="108"/>
      <c r="U123" s="108"/>
      <c r="V123" s="108"/>
      <c r="W123" s="108"/>
      <c r="X123" s="108"/>
      <c r="Y123" s="108"/>
      <c r="Z123" s="109"/>
      <c r="AA123" s="79"/>
      <c r="AB123" s="79"/>
      <c r="AC123" s="79"/>
      <c r="AD123" s="79"/>
      <c r="AE123" s="79"/>
      <c r="AF123" s="79"/>
      <c r="AG123" s="79"/>
      <c r="AH123" s="79"/>
      <c r="AI123" s="79"/>
      <c r="AJ123" s="79"/>
    </row>
    <row r="124" spans="1:36" s="80" customFormat="1" ht="21" x14ac:dyDescent="0.4">
      <c r="A124" s="77"/>
      <c r="B124" s="78"/>
      <c r="C124" s="78"/>
      <c r="D124" s="78"/>
      <c r="E124" s="78"/>
      <c r="F124" s="78"/>
      <c r="G124" s="78"/>
      <c r="H124" s="78"/>
      <c r="I124" s="108"/>
      <c r="J124" s="108"/>
      <c r="K124" s="108"/>
      <c r="L124" s="108"/>
      <c r="M124" s="108"/>
      <c r="N124" s="108"/>
      <c r="O124" s="108"/>
      <c r="P124" s="108"/>
      <c r="Q124" s="108"/>
      <c r="R124" s="108"/>
      <c r="S124" s="108"/>
      <c r="T124" s="108"/>
      <c r="U124" s="108"/>
      <c r="V124" s="108"/>
      <c r="W124" s="108"/>
      <c r="X124" s="108"/>
      <c r="Y124" s="108"/>
      <c r="Z124" s="109"/>
      <c r="AA124" s="79"/>
      <c r="AB124" s="79"/>
      <c r="AC124" s="79"/>
      <c r="AD124" s="79"/>
      <c r="AE124" s="79"/>
      <c r="AF124" s="79"/>
      <c r="AG124" s="79"/>
      <c r="AH124" s="79"/>
      <c r="AI124" s="79"/>
      <c r="AJ124" s="79"/>
    </row>
    <row r="125" spans="1:36" s="80" customFormat="1" ht="21" x14ac:dyDescent="0.4">
      <c r="A125" s="77"/>
      <c r="B125" s="78"/>
      <c r="C125" s="78"/>
      <c r="D125" s="78"/>
      <c r="E125" s="78"/>
      <c r="F125" s="78"/>
      <c r="G125" s="78"/>
      <c r="H125" s="78"/>
      <c r="I125" s="108"/>
      <c r="J125" s="108"/>
      <c r="K125" s="108"/>
      <c r="L125" s="108"/>
      <c r="M125" s="108"/>
      <c r="N125" s="108"/>
      <c r="O125" s="108"/>
      <c r="P125" s="108"/>
      <c r="Q125" s="108"/>
      <c r="R125" s="108"/>
      <c r="S125" s="108"/>
      <c r="T125" s="108"/>
      <c r="U125" s="108"/>
      <c r="V125" s="108"/>
      <c r="W125" s="108"/>
      <c r="X125" s="108"/>
      <c r="Y125" s="108"/>
      <c r="Z125" s="109"/>
      <c r="AA125" s="79"/>
      <c r="AB125" s="79"/>
      <c r="AC125" s="79"/>
      <c r="AD125" s="79"/>
      <c r="AE125" s="79"/>
      <c r="AF125" s="79"/>
      <c r="AG125" s="79"/>
      <c r="AH125" s="79"/>
      <c r="AI125" s="79"/>
      <c r="AJ125" s="79"/>
    </row>
    <row r="126" spans="1:36" s="80" customFormat="1" ht="21" x14ac:dyDescent="0.4">
      <c r="A126" s="77"/>
      <c r="B126" s="78"/>
      <c r="C126" s="78"/>
      <c r="D126" s="78"/>
      <c r="E126" s="78"/>
      <c r="F126" s="78"/>
      <c r="G126" s="78"/>
      <c r="H126" s="78"/>
      <c r="I126" s="108"/>
      <c r="J126" s="108"/>
      <c r="K126" s="108"/>
      <c r="L126" s="108"/>
      <c r="M126" s="108"/>
      <c r="N126" s="108"/>
      <c r="O126" s="108"/>
      <c r="P126" s="108"/>
      <c r="Q126" s="108"/>
      <c r="R126" s="108"/>
      <c r="S126" s="108"/>
      <c r="T126" s="108"/>
      <c r="U126" s="108"/>
      <c r="V126" s="108"/>
      <c r="W126" s="108"/>
      <c r="X126" s="108"/>
      <c r="Y126" s="108"/>
      <c r="Z126" s="109"/>
      <c r="AA126" s="79"/>
      <c r="AB126" s="79"/>
      <c r="AC126" s="79"/>
      <c r="AD126" s="79"/>
      <c r="AE126" s="79"/>
      <c r="AF126" s="79"/>
      <c r="AG126" s="79"/>
      <c r="AH126" s="79"/>
      <c r="AI126" s="79"/>
      <c r="AJ126" s="79"/>
    </row>
    <row r="127" spans="1:36" s="80" customFormat="1" ht="21" x14ac:dyDescent="0.4">
      <c r="A127" s="77"/>
      <c r="B127" s="78"/>
      <c r="C127" s="78"/>
      <c r="D127" s="78"/>
      <c r="E127" s="78"/>
      <c r="F127" s="78"/>
      <c r="G127" s="78"/>
      <c r="H127" s="78"/>
      <c r="I127" s="108"/>
      <c r="J127" s="108"/>
      <c r="K127" s="108"/>
      <c r="L127" s="108"/>
      <c r="M127" s="108"/>
      <c r="N127" s="108"/>
      <c r="O127" s="108"/>
      <c r="P127" s="108"/>
      <c r="Q127" s="108"/>
      <c r="R127" s="108"/>
      <c r="S127" s="108"/>
      <c r="T127" s="108"/>
      <c r="U127" s="108"/>
      <c r="V127" s="108"/>
      <c r="W127" s="108"/>
      <c r="X127" s="108"/>
      <c r="Y127" s="108"/>
      <c r="Z127" s="109"/>
      <c r="AA127" s="79"/>
      <c r="AB127" s="79"/>
      <c r="AC127" s="79"/>
      <c r="AD127" s="79"/>
      <c r="AE127" s="79"/>
      <c r="AF127" s="79"/>
      <c r="AG127" s="79"/>
      <c r="AH127" s="79"/>
      <c r="AI127" s="79"/>
      <c r="AJ127" s="79"/>
    </row>
    <row r="128" spans="1:36" s="80" customFormat="1" ht="21" x14ac:dyDescent="0.4">
      <c r="A128" s="77"/>
      <c r="B128" s="78"/>
      <c r="C128" s="78"/>
      <c r="D128" s="78"/>
      <c r="E128" s="78"/>
      <c r="F128" s="78"/>
      <c r="G128" s="78"/>
      <c r="H128" s="78"/>
      <c r="I128" s="108"/>
      <c r="J128" s="108"/>
      <c r="K128" s="108"/>
      <c r="L128" s="108"/>
      <c r="M128" s="108"/>
      <c r="N128" s="108"/>
      <c r="O128" s="108"/>
      <c r="P128" s="108"/>
      <c r="Q128" s="108"/>
      <c r="R128" s="108"/>
      <c r="S128" s="108"/>
      <c r="T128" s="108"/>
      <c r="U128" s="108"/>
      <c r="V128" s="108"/>
      <c r="W128" s="108"/>
      <c r="X128" s="108"/>
      <c r="Y128" s="108"/>
      <c r="Z128" s="109"/>
      <c r="AA128" s="79"/>
      <c r="AB128" s="79"/>
      <c r="AC128" s="79"/>
      <c r="AD128" s="79"/>
      <c r="AE128" s="79"/>
      <c r="AF128" s="79"/>
      <c r="AG128" s="79"/>
      <c r="AH128" s="79"/>
      <c r="AI128" s="79"/>
      <c r="AJ128" s="79"/>
    </row>
    <row r="129" spans="1:36" s="80" customFormat="1" ht="21" x14ac:dyDescent="0.4">
      <c r="A129" s="77"/>
      <c r="B129" s="78"/>
      <c r="C129" s="78"/>
      <c r="D129" s="78"/>
      <c r="E129" s="78"/>
      <c r="F129" s="78"/>
      <c r="G129" s="78"/>
      <c r="H129" s="78"/>
      <c r="I129" s="108"/>
      <c r="J129" s="108"/>
      <c r="K129" s="108"/>
      <c r="L129" s="108"/>
      <c r="M129" s="108"/>
      <c r="N129" s="108"/>
      <c r="O129" s="108"/>
      <c r="P129" s="108"/>
      <c r="Q129" s="108"/>
      <c r="R129" s="108"/>
      <c r="S129" s="108"/>
      <c r="T129" s="108"/>
      <c r="U129" s="108"/>
      <c r="V129" s="108"/>
      <c r="W129" s="108"/>
      <c r="X129" s="108"/>
      <c r="Y129" s="108"/>
      <c r="Z129" s="109"/>
      <c r="AA129" s="79"/>
      <c r="AB129" s="79"/>
      <c r="AC129" s="79"/>
      <c r="AD129" s="79"/>
      <c r="AE129" s="79"/>
      <c r="AF129" s="79"/>
      <c r="AG129" s="79"/>
      <c r="AH129" s="79"/>
      <c r="AI129" s="79"/>
      <c r="AJ129" s="79"/>
    </row>
    <row r="130" spans="1:36" s="80" customFormat="1" ht="21.6" thickBot="1" x14ac:dyDescent="0.45">
      <c r="A130" s="99"/>
      <c r="B130" s="84"/>
      <c r="C130" s="84"/>
      <c r="D130" s="84"/>
      <c r="E130" s="84"/>
      <c r="F130" s="84"/>
      <c r="G130" s="84"/>
      <c r="H130" s="84"/>
      <c r="I130" s="113"/>
      <c r="J130" s="113"/>
      <c r="K130" s="113"/>
      <c r="L130" s="113"/>
      <c r="M130" s="113"/>
      <c r="N130" s="113"/>
      <c r="O130" s="113"/>
      <c r="P130" s="113"/>
      <c r="Q130" s="113"/>
      <c r="R130" s="113"/>
      <c r="S130" s="113"/>
      <c r="T130" s="113"/>
      <c r="U130" s="113"/>
      <c r="V130" s="113"/>
      <c r="W130" s="113"/>
      <c r="X130" s="113"/>
      <c r="Y130" s="113"/>
      <c r="Z130" s="114"/>
      <c r="AA130" s="79"/>
      <c r="AB130" s="79"/>
      <c r="AC130" s="79"/>
      <c r="AD130" s="79"/>
      <c r="AE130" s="79"/>
      <c r="AF130" s="79"/>
      <c r="AG130" s="79"/>
      <c r="AH130" s="79"/>
      <c r="AI130" s="79"/>
      <c r="AJ130" s="79"/>
    </row>
    <row r="131" spans="1:36" s="80" customFormat="1" ht="33" x14ac:dyDescent="0.65">
      <c r="A131" s="86" t="s">
        <v>108</v>
      </c>
      <c r="B131" s="92"/>
      <c r="C131" s="87"/>
      <c r="D131" s="87"/>
      <c r="E131" s="87"/>
      <c r="F131" s="87"/>
      <c r="G131" s="92"/>
      <c r="H131" s="87"/>
      <c r="I131" s="87"/>
      <c r="J131" s="87"/>
      <c r="K131" s="87"/>
      <c r="L131" s="87"/>
      <c r="M131" s="87"/>
      <c r="N131" s="87"/>
      <c r="O131" s="87"/>
      <c r="P131" s="87"/>
      <c r="Q131" s="87"/>
      <c r="R131" s="87"/>
      <c r="S131" s="87"/>
      <c r="T131" s="87"/>
      <c r="U131" s="87"/>
      <c r="V131" s="87"/>
      <c r="W131" s="87"/>
      <c r="X131" s="87"/>
      <c r="Y131" s="87"/>
      <c r="Z131" s="88"/>
      <c r="AA131" s="79"/>
      <c r="AB131" s="79" t="e">
        <f>IF(F12&lt;Lijsten!X5,Lijsten!Y6,IF(F12&lt;Lijsten!X4,Lijsten!Y5,IF(F12&lt;Lijsten!X3,Lijsten!Y4,IF(F12&lt;Lijsten!X2,Lijsten!Y3,IF(F12=Lijsten!X2,Lijsten!Y2,"")))))</f>
        <v>#N/A</v>
      </c>
      <c r="AC131" s="79"/>
      <c r="AD131" s="79"/>
      <c r="AE131" s="79"/>
      <c r="AF131" s="79"/>
      <c r="AG131" s="79"/>
      <c r="AH131" s="79"/>
      <c r="AI131" s="79"/>
      <c r="AJ131" s="79"/>
    </row>
    <row r="132" spans="1:36" s="80" customFormat="1" ht="21" x14ac:dyDescent="0.4">
      <c r="A132" s="64"/>
      <c r="B132" s="65"/>
      <c r="C132" s="78"/>
      <c r="D132" s="78"/>
      <c r="E132" s="78"/>
      <c r="F132" s="78"/>
      <c r="G132" s="78"/>
      <c r="H132" s="78"/>
      <c r="I132" s="89" t="s">
        <v>85</v>
      </c>
      <c r="J132" s="78"/>
      <c r="K132" s="78"/>
      <c r="L132" s="78"/>
      <c r="M132" s="78"/>
      <c r="N132" s="78"/>
      <c r="O132" s="78"/>
      <c r="P132" s="78"/>
      <c r="Q132" s="78"/>
      <c r="R132" s="78"/>
      <c r="S132" s="78"/>
      <c r="T132" s="78"/>
      <c r="U132" s="78"/>
      <c r="V132" s="78"/>
      <c r="W132" s="78"/>
      <c r="X132" s="78"/>
      <c r="Y132" s="78"/>
      <c r="Z132" s="81"/>
      <c r="AA132" s="79"/>
      <c r="AB132" s="79" t="s">
        <v>325</v>
      </c>
      <c r="AC132" s="79"/>
      <c r="AD132" s="45" t="s">
        <v>185</v>
      </c>
      <c r="AE132" s="45" t="s">
        <v>186</v>
      </c>
      <c r="AF132" s="45" t="s">
        <v>187</v>
      </c>
      <c r="AG132" s="45" t="s">
        <v>188</v>
      </c>
      <c r="AH132" s="45" t="s">
        <v>189</v>
      </c>
      <c r="AI132" s="45" t="s">
        <v>190</v>
      </c>
      <c r="AJ132" s="79"/>
    </row>
    <row r="133" spans="1:36" s="80" customFormat="1" ht="21" x14ac:dyDescent="0.4">
      <c r="A133" s="64"/>
      <c r="B133" s="65"/>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81"/>
      <c r="AA133" s="79"/>
      <c r="AB133" s="79" t="s">
        <v>52</v>
      </c>
      <c r="AC133" s="79">
        <f>MAX(AD133:AI133)</f>
        <v>0</v>
      </c>
      <c r="AD133" s="79">
        <f>IF(Oogst!B8=Graskompas!AD132,4.5,0)</f>
        <v>0</v>
      </c>
      <c r="AE133" s="79">
        <f>IF(Oogst!B8=Graskompas!AE132,5.5,0)</f>
        <v>0</v>
      </c>
      <c r="AF133" s="79">
        <f>IF(Oogst!B8=Graskompas!AF132,6.5,0)</f>
        <v>0</v>
      </c>
      <c r="AG133" s="79">
        <f>IF(Oogst!B8=Graskompas!AG132,7.5,0)</f>
        <v>0</v>
      </c>
      <c r="AH133" s="79">
        <f>IF(Oogst!B8=Graskompas!AH132,8.5,0)</f>
        <v>0</v>
      </c>
      <c r="AI133" s="79">
        <f>IF(Oogst!B8=Graskompas!AI132,9.5,0)</f>
        <v>0</v>
      </c>
      <c r="AJ133" s="79"/>
    </row>
    <row r="134" spans="1:36" s="80" customFormat="1" ht="21" customHeight="1" x14ac:dyDescent="0.4">
      <c r="A134" s="64"/>
      <c r="B134" s="65"/>
      <c r="C134" s="78"/>
      <c r="D134" s="78"/>
      <c r="E134" s="78"/>
      <c r="F134" s="78"/>
      <c r="G134" s="78"/>
      <c r="H134" s="78"/>
      <c r="I134" s="108" t="e">
        <f>_xlfn.CONCAT(AB131,IF(OR(Zaai!B4=Scoring!C7,Zaai!B5=Scoring!C7),Scoring!Q121,Scoring!Q122))</f>
        <v>#N/A</v>
      </c>
      <c r="J134" s="108"/>
      <c r="K134" s="108"/>
      <c r="L134" s="108"/>
      <c r="M134" s="108"/>
      <c r="N134" s="108"/>
      <c r="O134" s="108"/>
      <c r="P134" s="108"/>
      <c r="Q134" s="108"/>
      <c r="R134" s="108"/>
      <c r="S134" s="108"/>
      <c r="T134" s="108"/>
      <c r="U134" s="108"/>
      <c r="V134" s="108"/>
      <c r="W134" s="108"/>
      <c r="X134" s="108"/>
      <c r="Y134" s="108"/>
      <c r="Z134" s="109"/>
      <c r="AA134" s="79"/>
      <c r="AB134" s="79" t="s">
        <v>356</v>
      </c>
      <c r="AC134" s="79">
        <v>35</v>
      </c>
      <c r="AD134" s="79"/>
      <c r="AE134" s="79"/>
      <c r="AF134" s="79"/>
      <c r="AG134" s="79"/>
      <c r="AH134" s="79"/>
      <c r="AI134" s="79"/>
      <c r="AJ134" s="79"/>
    </row>
    <row r="135" spans="1:36" s="80" customFormat="1" ht="21" x14ac:dyDescent="0.4">
      <c r="A135" s="64"/>
      <c r="B135" s="65"/>
      <c r="C135" s="78"/>
      <c r="D135" s="78"/>
      <c r="E135" s="78"/>
      <c r="F135" s="78"/>
      <c r="G135" s="78"/>
      <c r="H135" s="78"/>
      <c r="I135" s="108"/>
      <c r="J135" s="108"/>
      <c r="K135" s="108"/>
      <c r="L135" s="108"/>
      <c r="M135" s="108"/>
      <c r="N135" s="108"/>
      <c r="O135" s="108"/>
      <c r="P135" s="108"/>
      <c r="Q135" s="108"/>
      <c r="R135" s="108"/>
      <c r="S135" s="108"/>
      <c r="T135" s="108"/>
      <c r="U135" s="108"/>
      <c r="V135" s="108"/>
      <c r="W135" s="108"/>
      <c r="X135" s="108"/>
      <c r="Y135" s="108"/>
      <c r="Z135" s="109"/>
      <c r="AA135" s="79"/>
      <c r="AB135" s="79"/>
      <c r="AC135" s="79" t="s">
        <v>20</v>
      </c>
      <c r="AD135" s="79" t="s">
        <v>87</v>
      </c>
      <c r="AE135" s="79" t="s">
        <v>88</v>
      </c>
      <c r="AF135" s="79" t="s">
        <v>89</v>
      </c>
      <c r="AG135" s="79" t="s">
        <v>90</v>
      </c>
      <c r="AH135" s="79"/>
      <c r="AI135" s="79"/>
      <c r="AJ135" s="79"/>
    </row>
    <row r="136" spans="1:36" s="80" customFormat="1" ht="21" x14ac:dyDescent="0.4">
      <c r="A136" s="64"/>
      <c r="B136" s="65"/>
      <c r="C136" s="78"/>
      <c r="D136" s="78"/>
      <c r="E136" s="78"/>
      <c r="F136" s="78"/>
      <c r="G136" s="78"/>
      <c r="H136" s="78"/>
      <c r="I136" s="108"/>
      <c r="J136" s="108"/>
      <c r="K136" s="108"/>
      <c r="L136" s="108"/>
      <c r="M136" s="108"/>
      <c r="N136" s="108"/>
      <c r="O136" s="108"/>
      <c r="P136" s="108"/>
      <c r="Q136" s="108"/>
      <c r="R136" s="108"/>
      <c r="S136" s="108"/>
      <c r="T136" s="108"/>
      <c r="U136" s="108"/>
      <c r="V136" s="108"/>
      <c r="W136" s="108"/>
      <c r="X136" s="108"/>
      <c r="Y136" s="108"/>
      <c r="Z136" s="109"/>
      <c r="AA136" s="79"/>
      <c r="AB136" s="79"/>
      <c r="AC136" s="79" t="e">
        <f>Oogst!C8</f>
        <v>#N/A</v>
      </c>
      <c r="AD136" s="79">
        <f>Scoring!N105</f>
        <v>1</v>
      </c>
      <c r="AE136" s="79" t="e">
        <f>IF(SUM(AC136:AC137)=SUM(AD136:AD137),1,0)</f>
        <v>#N/A</v>
      </c>
      <c r="AF136" s="79" t="e">
        <f>IF(AND(SUM(AC136:AC137)&gt;(SUM(AD136:AD137)/2),SUM(AC136:AC137)&lt;SUM(AD136:AD137)),1,0)</f>
        <v>#N/A</v>
      </c>
      <c r="AG136" s="79" t="e">
        <f>IF(OR(SUM(AC136:AC137)&lt;(SUM(AD136:AD137)/2),SUM(AC136:AC137)=(SUM(AD136:AD137)/2)),1,0)</f>
        <v>#N/A</v>
      </c>
      <c r="AH136" s="79"/>
      <c r="AI136" s="79"/>
      <c r="AJ136" s="79"/>
    </row>
    <row r="137" spans="1:36" s="80" customFormat="1" ht="21" x14ac:dyDescent="0.4">
      <c r="A137" s="64"/>
      <c r="B137" s="65"/>
      <c r="C137" s="78"/>
      <c r="D137" s="78"/>
      <c r="E137" s="78"/>
      <c r="F137" s="78"/>
      <c r="G137" s="78"/>
      <c r="H137" s="78"/>
      <c r="I137" s="108"/>
      <c r="J137" s="108"/>
      <c r="K137" s="108"/>
      <c r="L137" s="108"/>
      <c r="M137" s="108"/>
      <c r="N137" s="108"/>
      <c r="O137" s="108"/>
      <c r="P137" s="108"/>
      <c r="Q137" s="108"/>
      <c r="R137" s="108"/>
      <c r="S137" s="108"/>
      <c r="T137" s="108"/>
      <c r="U137" s="108"/>
      <c r="V137" s="108"/>
      <c r="W137" s="108"/>
      <c r="X137" s="108"/>
      <c r="Y137" s="108"/>
      <c r="Z137" s="109"/>
      <c r="AA137" s="79"/>
      <c r="AB137" s="79"/>
      <c r="AC137" s="79">
        <f>Oogst!C9</f>
        <v>0</v>
      </c>
      <c r="AD137" s="79">
        <f>Scoring!N107</f>
        <v>1</v>
      </c>
      <c r="AE137" s="79"/>
      <c r="AF137" s="79"/>
      <c r="AG137" s="79"/>
      <c r="AH137" s="79"/>
      <c r="AI137" s="79"/>
      <c r="AJ137" s="79"/>
    </row>
    <row r="138" spans="1:36" s="80" customFormat="1" ht="21" x14ac:dyDescent="0.4">
      <c r="A138" s="64"/>
      <c r="B138" s="65"/>
      <c r="C138" s="78"/>
      <c r="D138" s="78"/>
      <c r="E138" s="78"/>
      <c r="F138" s="78"/>
      <c r="G138" s="78"/>
      <c r="H138" s="78"/>
      <c r="I138" s="108"/>
      <c r="J138" s="108"/>
      <c r="K138" s="108"/>
      <c r="L138" s="108"/>
      <c r="M138" s="108"/>
      <c r="N138" s="108"/>
      <c r="O138" s="108"/>
      <c r="P138" s="108"/>
      <c r="Q138" s="108"/>
      <c r="R138" s="108"/>
      <c r="S138" s="108"/>
      <c r="T138" s="108"/>
      <c r="U138" s="108"/>
      <c r="V138" s="108"/>
      <c r="W138" s="108"/>
      <c r="X138" s="108"/>
      <c r="Y138" s="108"/>
      <c r="Z138" s="109"/>
      <c r="AA138" s="79"/>
      <c r="AB138" s="79" t="s">
        <v>357</v>
      </c>
      <c r="AC138" s="79" t="s">
        <v>20</v>
      </c>
      <c r="AD138" s="79" t="s">
        <v>87</v>
      </c>
      <c r="AE138" s="79" t="s">
        <v>88</v>
      </c>
      <c r="AF138" s="79" t="s">
        <v>90</v>
      </c>
      <c r="AG138" s="79"/>
      <c r="AH138" s="79"/>
      <c r="AI138" s="79"/>
      <c r="AJ138" s="79"/>
    </row>
    <row r="139" spans="1:36" s="80" customFormat="1" ht="21" x14ac:dyDescent="0.4">
      <c r="A139" s="64"/>
      <c r="B139" s="65"/>
      <c r="C139" s="78"/>
      <c r="D139" s="78"/>
      <c r="E139" s="78"/>
      <c r="F139" s="78"/>
      <c r="G139" s="78"/>
      <c r="H139" s="78"/>
      <c r="I139" s="108"/>
      <c r="J139" s="108"/>
      <c r="K139" s="108"/>
      <c r="L139" s="108"/>
      <c r="M139" s="108"/>
      <c r="N139" s="108"/>
      <c r="O139" s="108"/>
      <c r="P139" s="108"/>
      <c r="Q139" s="108"/>
      <c r="R139" s="108"/>
      <c r="S139" s="108"/>
      <c r="T139" s="108"/>
      <c r="U139" s="108"/>
      <c r="V139" s="108"/>
      <c r="W139" s="108"/>
      <c r="X139" s="108"/>
      <c r="Y139" s="108"/>
      <c r="Z139" s="109"/>
      <c r="AA139" s="79"/>
      <c r="AB139" s="79"/>
      <c r="AC139" s="79" t="e">
        <f>Oogst!C7</f>
        <v>#N/A</v>
      </c>
      <c r="AD139" s="79">
        <f>Scoring!N103</f>
        <v>1</v>
      </c>
      <c r="AE139" s="79" t="e">
        <f>IF(AC139=AD139,1,0)</f>
        <v>#N/A</v>
      </c>
      <c r="AF139" s="79" t="e">
        <f>IF(AC139=AD139,0,1)</f>
        <v>#N/A</v>
      </c>
      <c r="AG139" s="79"/>
      <c r="AH139" s="79"/>
      <c r="AI139" s="79"/>
      <c r="AJ139" s="79"/>
    </row>
    <row r="140" spans="1:36" s="80" customFormat="1" ht="21" x14ac:dyDescent="0.4">
      <c r="A140" s="64"/>
      <c r="B140" s="65"/>
      <c r="C140" s="78"/>
      <c r="D140" s="78"/>
      <c r="E140" s="78"/>
      <c r="F140" s="78"/>
      <c r="G140" s="78"/>
      <c r="H140" s="78"/>
      <c r="I140" s="108"/>
      <c r="J140" s="108"/>
      <c r="K140" s="108"/>
      <c r="L140" s="108"/>
      <c r="M140" s="108"/>
      <c r="N140" s="108"/>
      <c r="O140" s="108"/>
      <c r="P140" s="108"/>
      <c r="Q140" s="108"/>
      <c r="R140" s="108"/>
      <c r="S140" s="108"/>
      <c r="T140" s="108"/>
      <c r="U140" s="108"/>
      <c r="V140" s="108"/>
      <c r="W140" s="108"/>
      <c r="X140" s="108"/>
      <c r="Y140" s="108"/>
      <c r="Z140" s="109"/>
      <c r="AA140" s="79"/>
      <c r="AB140" s="79" t="s">
        <v>358</v>
      </c>
      <c r="AC140" s="79" t="s">
        <v>20</v>
      </c>
      <c r="AD140" s="79" t="s">
        <v>87</v>
      </c>
      <c r="AE140" s="79" t="s">
        <v>88</v>
      </c>
      <c r="AF140" s="79" t="s">
        <v>90</v>
      </c>
      <c r="AG140" s="79"/>
      <c r="AH140" s="79"/>
      <c r="AI140" s="79"/>
      <c r="AJ140" s="79"/>
    </row>
    <row r="141" spans="1:36" s="80" customFormat="1" ht="21" x14ac:dyDescent="0.4">
      <c r="A141" s="64"/>
      <c r="B141" s="65"/>
      <c r="C141" s="78"/>
      <c r="D141" s="78"/>
      <c r="E141" s="78"/>
      <c r="F141" s="78"/>
      <c r="G141" s="78"/>
      <c r="H141" s="78"/>
      <c r="I141" s="108"/>
      <c r="J141" s="108"/>
      <c r="K141" s="108"/>
      <c r="L141" s="108"/>
      <c r="M141" s="108"/>
      <c r="N141" s="108"/>
      <c r="O141" s="108"/>
      <c r="P141" s="108"/>
      <c r="Q141" s="108"/>
      <c r="R141" s="108"/>
      <c r="S141" s="108"/>
      <c r="T141" s="108"/>
      <c r="U141" s="108"/>
      <c r="V141" s="108"/>
      <c r="W141" s="108"/>
      <c r="X141" s="108"/>
      <c r="Y141" s="108"/>
      <c r="Z141" s="109"/>
      <c r="AA141" s="79"/>
      <c r="AB141" s="79"/>
      <c r="AC141" s="79" t="e">
        <f>Oogst!C10</f>
        <v>#N/A</v>
      </c>
      <c r="AD141" s="79">
        <f>Scoring!N109</f>
        <v>1</v>
      </c>
      <c r="AE141" s="79" t="e">
        <f>IF(AC141=AD141,1,0)</f>
        <v>#N/A</v>
      </c>
      <c r="AF141" s="79" t="e">
        <f>IF(AC141=AD141,0,1)</f>
        <v>#N/A</v>
      </c>
      <c r="AG141" s="79"/>
      <c r="AH141" s="79"/>
      <c r="AI141" s="79"/>
      <c r="AJ141" s="79"/>
    </row>
    <row r="142" spans="1:36" s="80" customFormat="1" ht="21" x14ac:dyDescent="0.4">
      <c r="A142" s="64"/>
      <c r="B142" s="65"/>
      <c r="C142" s="78"/>
      <c r="D142" s="78"/>
      <c r="E142" s="78"/>
      <c r="F142" s="78"/>
      <c r="G142" s="78"/>
      <c r="H142" s="78"/>
      <c r="I142" s="108"/>
      <c r="J142" s="108"/>
      <c r="K142" s="108"/>
      <c r="L142" s="108"/>
      <c r="M142" s="108"/>
      <c r="N142" s="108"/>
      <c r="O142" s="108"/>
      <c r="P142" s="108"/>
      <c r="Q142" s="108"/>
      <c r="R142" s="108"/>
      <c r="S142" s="108"/>
      <c r="T142" s="108"/>
      <c r="U142" s="108"/>
      <c r="V142" s="108"/>
      <c r="W142" s="108"/>
      <c r="X142" s="108"/>
      <c r="Y142" s="108"/>
      <c r="Z142" s="109"/>
      <c r="AA142" s="79"/>
      <c r="AB142" s="79" t="s">
        <v>326</v>
      </c>
      <c r="AC142" s="79" t="s">
        <v>20</v>
      </c>
      <c r="AD142" s="79" t="s">
        <v>87</v>
      </c>
      <c r="AE142" s="79" t="s">
        <v>88</v>
      </c>
      <c r="AF142" s="79" t="s">
        <v>90</v>
      </c>
      <c r="AG142" s="79"/>
      <c r="AH142" s="79"/>
      <c r="AI142" s="79"/>
      <c r="AJ142" s="79"/>
    </row>
    <row r="143" spans="1:36" s="80" customFormat="1" ht="21" x14ac:dyDescent="0.4">
      <c r="A143" s="64"/>
      <c r="B143" s="65"/>
      <c r="C143" s="78"/>
      <c r="D143" s="78"/>
      <c r="E143" s="78"/>
      <c r="F143" s="78"/>
      <c r="G143" s="78"/>
      <c r="H143" s="78"/>
      <c r="I143" s="108"/>
      <c r="J143" s="108"/>
      <c r="K143" s="108"/>
      <c r="L143" s="108"/>
      <c r="M143" s="108"/>
      <c r="N143" s="108"/>
      <c r="O143" s="108"/>
      <c r="P143" s="108"/>
      <c r="Q143" s="108"/>
      <c r="R143" s="108"/>
      <c r="S143" s="108"/>
      <c r="T143" s="108"/>
      <c r="U143" s="108"/>
      <c r="V143" s="108"/>
      <c r="W143" s="108"/>
      <c r="X143" s="108"/>
      <c r="Y143" s="108"/>
      <c r="Z143" s="109"/>
      <c r="AA143" s="79"/>
      <c r="AB143" s="79"/>
      <c r="AC143" s="79" t="e">
        <f>Oogst!C12</f>
        <v>#N/A</v>
      </c>
      <c r="AD143" s="79">
        <f>Scoring!N113</f>
        <v>1</v>
      </c>
      <c r="AE143" s="79" t="e">
        <f>IF(AC143=AD143,1,0)</f>
        <v>#N/A</v>
      </c>
      <c r="AF143" s="79" t="e">
        <f>IF(AC143=AD143,0,1)</f>
        <v>#N/A</v>
      </c>
      <c r="AG143" s="79"/>
      <c r="AH143" s="79"/>
      <c r="AI143" s="79"/>
      <c r="AJ143" s="79"/>
    </row>
    <row r="144" spans="1:36" s="80" customFormat="1" ht="21" x14ac:dyDescent="0.4">
      <c r="A144" s="64"/>
      <c r="B144" s="65"/>
      <c r="C144" s="78"/>
      <c r="D144" s="78"/>
      <c r="E144" s="78"/>
      <c r="F144" s="78"/>
      <c r="G144" s="78"/>
      <c r="H144" s="78"/>
      <c r="I144" s="108"/>
      <c r="J144" s="108"/>
      <c r="K144" s="108"/>
      <c r="L144" s="108"/>
      <c r="M144" s="108"/>
      <c r="N144" s="108"/>
      <c r="O144" s="108"/>
      <c r="P144" s="108"/>
      <c r="Q144" s="108"/>
      <c r="R144" s="108"/>
      <c r="S144" s="108"/>
      <c r="T144" s="108"/>
      <c r="U144" s="108"/>
      <c r="V144" s="108"/>
      <c r="W144" s="108"/>
      <c r="X144" s="108"/>
      <c r="Y144" s="108"/>
      <c r="Z144" s="109"/>
      <c r="AA144" s="79"/>
      <c r="AB144" s="79"/>
      <c r="AC144" s="79"/>
      <c r="AD144" s="79"/>
      <c r="AE144" s="79"/>
      <c r="AF144" s="79"/>
      <c r="AG144" s="79"/>
      <c r="AH144" s="79"/>
      <c r="AI144" s="79"/>
      <c r="AJ144" s="79"/>
    </row>
    <row r="145" spans="1:36" s="80" customFormat="1" ht="21" x14ac:dyDescent="0.4">
      <c r="A145" s="64"/>
      <c r="B145" s="65"/>
      <c r="C145" s="78"/>
      <c r="D145" s="78"/>
      <c r="E145" s="78"/>
      <c r="F145" s="78"/>
      <c r="G145" s="78"/>
      <c r="H145" s="78"/>
      <c r="I145" s="108"/>
      <c r="J145" s="108"/>
      <c r="K145" s="108"/>
      <c r="L145" s="108"/>
      <c r="M145" s="108"/>
      <c r="N145" s="108"/>
      <c r="O145" s="108"/>
      <c r="P145" s="108"/>
      <c r="Q145" s="108"/>
      <c r="R145" s="108"/>
      <c r="S145" s="108"/>
      <c r="T145" s="108"/>
      <c r="U145" s="108"/>
      <c r="V145" s="108"/>
      <c r="W145" s="108"/>
      <c r="X145" s="108"/>
      <c r="Y145" s="108"/>
      <c r="Z145" s="109"/>
      <c r="AA145" s="79"/>
      <c r="AB145" s="79"/>
      <c r="AC145" s="79"/>
      <c r="AD145" s="79"/>
      <c r="AE145" s="79"/>
      <c r="AF145" s="79"/>
      <c r="AG145" s="79"/>
      <c r="AH145" s="79"/>
      <c r="AI145" s="79"/>
      <c r="AJ145" s="79"/>
    </row>
    <row r="146" spans="1:36" s="80" customFormat="1" ht="21" x14ac:dyDescent="0.4">
      <c r="A146" s="64"/>
      <c r="B146" s="65"/>
      <c r="C146" s="78"/>
      <c r="D146" s="78"/>
      <c r="E146" s="78"/>
      <c r="F146" s="78"/>
      <c r="G146" s="78"/>
      <c r="H146" s="78"/>
      <c r="I146" s="93"/>
      <c r="J146" s="93"/>
      <c r="K146" s="93"/>
      <c r="L146" s="93"/>
      <c r="M146" s="93"/>
      <c r="N146" s="93"/>
      <c r="O146" s="93"/>
      <c r="P146" s="93"/>
      <c r="Q146" s="93"/>
      <c r="R146" s="93"/>
      <c r="S146" s="93"/>
      <c r="T146" s="93"/>
      <c r="U146" s="93"/>
      <c r="V146" s="93"/>
      <c r="W146" s="93"/>
      <c r="X146" s="93"/>
      <c r="Y146" s="93"/>
      <c r="Z146" s="94"/>
      <c r="AA146" s="79"/>
      <c r="AB146" s="79"/>
      <c r="AC146" s="79"/>
      <c r="AD146" s="79"/>
      <c r="AE146" s="79"/>
      <c r="AF146" s="79"/>
      <c r="AG146" s="79"/>
      <c r="AH146" s="79"/>
      <c r="AI146" s="79"/>
      <c r="AJ146" s="79"/>
    </row>
    <row r="147" spans="1:36" s="80" customFormat="1" ht="21" x14ac:dyDescent="0.4">
      <c r="A147" s="77"/>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81"/>
      <c r="AA147" s="79"/>
      <c r="AB147" s="79"/>
      <c r="AC147" s="79"/>
      <c r="AD147" s="79"/>
      <c r="AE147" s="79"/>
      <c r="AF147" s="79"/>
      <c r="AG147" s="79"/>
      <c r="AH147" s="79"/>
      <c r="AI147" s="79"/>
      <c r="AJ147" s="79"/>
    </row>
    <row r="148" spans="1:36" s="80" customFormat="1" ht="21" x14ac:dyDescent="0.4">
      <c r="A148" s="77"/>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81"/>
      <c r="AA148" s="79"/>
      <c r="AB148" s="79"/>
      <c r="AC148" s="79"/>
      <c r="AD148" s="79"/>
      <c r="AE148" s="79"/>
      <c r="AF148" s="79"/>
      <c r="AG148" s="79"/>
      <c r="AH148" s="79"/>
      <c r="AI148" s="79"/>
      <c r="AJ148" s="79"/>
    </row>
    <row r="149" spans="1:36" s="80" customFormat="1" ht="21" x14ac:dyDescent="0.4">
      <c r="A149" s="77"/>
      <c r="B149" s="78"/>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81"/>
      <c r="AA149" s="79"/>
      <c r="AB149" s="79"/>
      <c r="AC149" s="79"/>
      <c r="AD149" s="79"/>
      <c r="AE149" s="79"/>
      <c r="AF149" s="79"/>
      <c r="AG149" s="79"/>
      <c r="AH149" s="79"/>
      <c r="AI149" s="79"/>
      <c r="AJ149" s="79"/>
    </row>
    <row r="150" spans="1:36" s="80" customFormat="1" ht="21" x14ac:dyDescent="0.4">
      <c r="A150" s="77"/>
      <c r="B150" s="78"/>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81"/>
      <c r="AA150" s="79"/>
      <c r="AB150" s="79"/>
      <c r="AC150" s="79"/>
      <c r="AD150" s="79"/>
      <c r="AE150" s="79"/>
      <c r="AF150" s="79"/>
      <c r="AG150" s="79"/>
      <c r="AH150" s="79"/>
      <c r="AI150" s="79"/>
      <c r="AJ150" s="79"/>
    </row>
    <row r="151" spans="1:36" s="80" customFormat="1" ht="21" x14ac:dyDescent="0.4">
      <c r="A151" s="77"/>
      <c r="B151" s="78"/>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81"/>
      <c r="AA151" s="79"/>
      <c r="AB151" s="79"/>
      <c r="AC151" s="79"/>
      <c r="AD151" s="79"/>
      <c r="AE151" s="79"/>
      <c r="AF151" s="79"/>
      <c r="AG151" s="79"/>
      <c r="AH151" s="79"/>
      <c r="AI151" s="79"/>
      <c r="AJ151" s="79"/>
    </row>
    <row r="152" spans="1:36" s="80" customFormat="1" ht="21" x14ac:dyDescent="0.4">
      <c r="A152" s="77"/>
      <c r="B152" s="78"/>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81"/>
      <c r="AA152" s="79"/>
      <c r="AB152" s="79"/>
      <c r="AC152" s="79"/>
      <c r="AD152" s="79"/>
      <c r="AE152" s="79"/>
      <c r="AF152" s="79"/>
      <c r="AG152" s="79"/>
      <c r="AH152" s="79"/>
      <c r="AI152" s="79"/>
      <c r="AJ152" s="79"/>
    </row>
    <row r="153" spans="1:36" s="80" customFormat="1" ht="21" x14ac:dyDescent="0.4">
      <c r="A153" s="77"/>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81"/>
      <c r="AA153" s="79"/>
      <c r="AB153" s="79"/>
      <c r="AC153" s="79"/>
      <c r="AD153" s="79"/>
      <c r="AE153" s="79"/>
      <c r="AF153" s="79"/>
      <c r="AG153" s="79"/>
      <c r="AH153" s="79"/>
      <c r="AI153" s="79"/>
      <c r="AJ153" s="79"/>
    </row>
    <row r="154" spans="1:36" s="80" customFormat="1" ht="21" x14ac:dyDescent="0.4">
      <c r="A154" s="77"/>
      <c r="B154" s="78"/>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81"/>
      <c r="AA154" s="79"/>
      <c r="AB154" s="79"/>
      <c r="AC154" s="79"/>
      <c r="AD154" s="79"/>
      <c r="AE154" s="79"/>
      <c r="AF154" s="79"/>
      <c r="AG154" s="79"/>
      <c r="AH154" s="79"/>
      <c r="AI154" s="79"/>
      <c r="AJ154" s="79"/>
    </row>
    <row r="155" spans="1:36" s="80" customFormat="1" ht="21" x14ac:dyDescent="0.4">
      <c r="A155" s="77"/>
      <c r="B155" s="78"/>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81"/>
      <c r="AA155" s="79"/>
      <c r="AB155" s="79"/>
      <c r="AC155" s="79"/>
      <c r="AD155" s="79"/>
      <c r="AE155" s="79"/>
      <c r="AF155" s="79"/>
      <c r="AG155" s="79"/>
      <c r="AH155" s="79"/>
      <c r="AI155" s="79"/>
      <c r="AJ155" s="79"/>
    </row>
    <row r="156" spans="1:36" s="80" customFormat="1" ht="21" x14ac:dyDescent="0.4">
      <c r="A156" s="77"/>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81"/>
      <c r="AA156" s="79"/>
      <c r="AB156" s="79"/>
      <c r="AC156" s="79"/>
      <c r="AD156" s="79"/>
      <c r="AE156" s="79"/>
      <c r="AF156" s="79"/>
      <c r="AG156" s="79"/>
      <c r="AH156" s="79"/>
      <c r="AI156" s="79"/>
      <c r="AJ156" s="79"/>
    </row>
    <row r="157" spans="1:36" s="80" customFormat="1" ht="21.6" thickBot="1" x14ac:dyDescent="0.45">
      <c r="A157" s="99"/>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5"/>
      <c r="AA157" s="79"/>
      <c r="AB157" s="79"/>
      <c r="AC157" s="79"/>
      <c r="AD157" s="79"/>
      <c r="AE157" s="79"/>
      <c r="AF157" s="79"/>
      <c r="AG157" s="79"/>
      <c r="AH157" s="79"/>
      <c r="AI157" s="79"/>
      <c r="AJ157" s="79"/>
    </row>
    <row r="158" spans="1:36" s="80" customFormat="1" ht="33" x14ac:dyDescent="0.65">
      <c r="A158" s="86" t="s">
        <v>80</v>
      </c>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8"/>
      <c r="AA158" s="79"/>
      <c r="AB158" s="79" t="e">
        <f>IF(N12&lt;Lijsten!X5,Lijsten!Y6,IF(N12&lt;Lijsten!X4,Lijsten!Y5,IF(N12&lt;Lijsten!X3,Lijsten!Y4,IF(N12&lt;Lijsten!X2,Lijsten!Y3,IF(N12=Lijsten!X2,Lijsten!Y2,"")))))</f>
        <v>#DIV/0!</v>
      </c>
      <c r="AC158" s="79"/>
      <c r="AD158" s="79"/>
      <c r="AE158" s="79"/>
      <c r="AF158" s="79"/>
      <c r="AG158" s="79"/>
      <c r="AH158" s="79"/>
      <c r="AI158" s="79"/>
      <c r="AJ158" s="79"/>
    </row>
    <row r="159" spans="1:36" x14ac:dyDescent="0.3">
      <c r="A159" s="64"/>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6"/>
    </row>
    <row r="160" spans="1:36" x14ac:dyDescent="0.3">
      <c r="A160" s="64"/>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6"/>
      <c r="AA160" s="45" t="e">
        <f>ROUND(Scoring!C142,1)</f>
        <v>#DIV/0!</v>
      </c>
      <c r="AC160" s="45" t="e">
        <f>IF(AA160&gt;0.99,1,0)</f>
        <v>#DIV/0!</v>
      </c>
      <c r="AD160" s="45" t="s">
        <v>90</v>
      </c>
      <c r="AE160" s="45" t="s">
        <v>88</v>
      </c>
      <c r="AF160" s="45" t="s">
        <v>89</v>
      </c>
    </row>
    <row r="161" spans="1:35" x14ac:dyDescent="0.3">
      <c r="A161" s="64"/>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6"/>
      <c r="AC161" s="45" t="e">
        <f>IF(AA160&gt;1.99,1,0)</f>
        <v>#DIV/0!</v>
      </c>
      <c r="AD161" s="45" t="e">
        <f>IF(AA160=0,1,0)</f>
        <v>#DIV/0!</v>
      </c>
      <c r="AE161" s="45" t="e">
        <f>IF(AND(AA160&gt;0,AA160&lt;10),1,0)</f>
        <v>#DIV/0!</v>
      </c>
      <c r="AF161" s="45" t="e">
        <f>IF(AA160&gt;10,1,0)</f>
        <v>#DIV/0!</v>
      </c>
    </row>
    <row r="162" spans="1:35" x14ac:dyDescent="0.3">
      <c r="A162" s="64"/>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6"/>
      <c r="AC162" s="45" t="e">
        <f>IF(AA160&gt;2.99,1,0)</f>
        <v>#DIV/0!</v>
      </c>
    </row>
    <row r="163" spans="1:35" x14ac:dyDescent="0.3">
      <c r="A163" s="64"/>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6"/>
      <c r="AC163" s="45" t="e">
        <f>IF(AA160&gt;3.99,1,0)</f>
        <v>#DIV/0!</v>
      </c>
    </row>
    <row r="164" spans="1:35" x14ac:dyDescent="0.3">
      <c r="A164" s="64"/>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6"/>
      <c r="AC164" s="45" t="e">
        <f>IF(AA160&gt;4.99,1,0)</f>
        <v>#DIV/0!</v>
      </c>
    </row>
    <row r="165" spans="1:35" x14ac:dyDescent="0.3">
      <c r="A165" s="64"/>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6"/>
      <c r="AC165" s="45" t="e">
        <f>IF(AA160&gt;5.99,1,0)</f>
        <v>#DIV/0!</v>
      </c>
    </row>
    <row r="166" spans="1:35" x14ac:dyDescent="0.3">
      <c r="A166" s="64"/>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6"/>
      <c r="AC166" s="45" t="e">
        <f>IF(AA160&gt;6.99,1,0)</f>
        <v>#DIV/0!</v>
      </c>
    </row>
    <row r="167" spans="1:35" x14ac:dyDescent="0.3">
      <c r="A167" s="64"/>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6"/>
      <c r="AC167" s="45" t="e">
        <f>IF(AA160&gt;7.99,1,0)</f>
        <v>#DIV/0!</v>
      </c>
    </row>
    <row r="168" spans="1:35" x14ac:dyDescent="0.3">
      <c r="A168" s="64"/>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6"/>
      <c r="AC168" s="45" t="e">
        <f>IF(AA160&gt;8.99,1,0)</f>
        <v>#DIV/0!</v>
      </c>
    </row>
    <row r="169" spans="1:35" x14ac:dyDescent="0.3">
      <c r="A169" s="64"/>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6"/>
      <c r="AC169" s="45" t="e">
        <f>IF(AA160&gt;9.99,1,0)</f>
        <v>#DIV/0!</v>
      </c>
    </row>
    <row r="170" spans="1:35" x14ac:dyDescent="0.3">
      <c r="A170" s="64"/>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6"/>
      <c r="AC170" s="45" t="e">
        <f>IF(AA160&gt;10.99,1,0)</f>
        <v>#DIV/0!</v>
      </c>
    </row>
    <row r="171" spans="1:35" x14ac:dyDescent="0.3">
      <c r="A171" s="64"/>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6"/>
    </row>
    <row r="172" spans="1:35" ht="21" x14ac:dyDescent="0.4">
      <c r="A172" s="64"/>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6"/>
      <c r="AB172" s="45" t="s">
        <v>359</v>
      </c>
      <c r="AC172" s="79" t="s">
        <v>20</v>
      </c>
      <c r="AD172" s="79" t="s">
        <v>87</v>
      </c>
      <c r="AE172" s="79" t="s">
        <v>88</v>
      </c>
      <c r="AF172" s="79" t="s">
        <v>90</v>
      </c>
      <c r="AG172" s="79"/>
      <c r="AH172" s="79" t="s">
        <v>362</v>
      </c>
      <c r="AI172" s="79" t="s">
        <v>363</v>
      </c>
    </row>
    <row r="173" spans="1:35" ht="21" x14ac:dyDescent="0.4">
      <c r="A173" s="64"/>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6"/>
      <c r="AC173" s="45">
        <f>Weidegang!C9</f>
        <v>1</v>
      </c>
      <c r="AD173" s="45">
        <f>Scoring!N136</f>
        <v>1</v>
      </c>
      <c r="AE173" s="79">
        <f>IF(AC173=AD173,1,0)</f>
        <v>1</v>
      </c>
      <c r="AF173" s="79">
        <f>IF(AC173=AD173,0,1)</f>
        <v>0</v>
      </c>
      <c r="AH173" s="45">
        <f>IF(SUM(AC173,AC175,AC177)=SUM(AD173,AD175,AD177),1,0)</f>
        <v>0</v>
      </c>
      <c r="AI173" s="45">
        <f>IF(SUM(AC173,AC175,AC177)&lt;0.34*SUM(AD173,AD175,AD177),1,0)</f>
        <v>0</v>
      </c>
    </row>
    <row r="174" spans="1:35" ht="21" x14ac:dyDescent="0.4">
      <c r="A174" s="64"/>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6"/>
      <c r="AB174" s="45" t="s">
        <v>360</v>
      </c>
      <c r="AC174" s="79" t="s">
        <v>20</v>
      </c>
      <c r="AD174" s="79" t="s">
        <v>87</v>
      </c>
      <c r="AE174" s="79" t="s">
        <v>88</v>
      </c>
      <c r="AF174" s="79" t="s">
        <v>90</v>
      </c>
      <c r="AG174" s="79"/>
    </row>
    <row r="175" spans="1:35" ht="21" x14ac:dyDescent="0.4">
      <c r="A175" s="64"/>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6"/>
      <c r="AC175" s="45">
        <f>Weidegang!C10</f>
        <v>1</v>
      </c>
      <c r="AD175" s="45">
        <f>Scoring!N138</f>
        <v>1</v>
      </c>
      <c r="AE175" s="79">
        <f>IF(AC175=AD175,1,0)</f>
        <v>1</v>
      </c>
      <c r="AF175" s="79">
        <f>IF(AC175=AD175,0,1)</f>
        <v>0</v>
      </c>
    </row>
    <row r="176" spans="1:35" ht="21" x14ac:dyDescent="0.4">
      <c r="A176" s="64"/>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6"/>
      <c r="AB176" s="45" t="s">
        <v>361</v>
      </c>
      <c r="AC176" s="79" t="s">
        <v>20</v>
      </c>
      <c r="AD176" s="79" t="s">
        <v>87</v>
      </c>
      <c r="AE176" s="79" t="s">
        <v>88</v>
      </c>
      <c r="AF176" s="79" t="s">
        <v>90</v>
      </c>
    </row>
    <row r="177" spans="1:32" ht="21" x14ac:dyDescent="0.4">
      <c r="A177" s="64"/>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6"/>
      <c r="AC177" s="45">
        <f>Weidegang!C11</f>
        <v>0</v>
      </c>
      <c r="AD177" s="45">
        <f>Scoring!N140</f>
        <v>1</v>
      </c>
      <c r="AE177" s="79">
        <f>IF(AC177=AD177,1,0)</f>
        <v>0</v>
      </c>
      <c r="AF177" s="79">
        <f>IF(AC177=AD177,0,1)</f>
        <v>1</v>
      </c>
    </row>
    <row r="178" spans="1:32" x14ac:dyDescent="0.3">
      <c r="A178" s="64"/>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6"/>
    </row>
    <row r="179" spans="1:32" x14ac:dyDescent="0.3">
      <c r="A179" s="64"/>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6"/>
    </row>
    <row r="180" spans="1:32" x14ac:dyDescent="0.3">
      <c r="A180" s="64"/>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6"/>
    </row>
    <row r="181" spans="1:32" x14ac:dyDescent="0.3">
      <c r="A181" s="64"/>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6"/>
    </row>
    <row r="182" spans="1:32" x14ac:dyDescent="0.3">
      <c r="A182" s="64"/>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6"/>
    </row>
    <row r="183" spans="1:32" x14ac:dyDescent="0.3">
      <c r="A183" s="64"/>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6"/>
    </row>
    <row r="184" spans="1:32" x14ac:dyDescent="0.3">
      <c r="A184" s="64"/>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6"/>
    </row>
    <row r="185" spans="1:32" x14ac:dyDescent="0.3">
      <c r="A185" s="64"/>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6"/>
    </row>
    <row r="186" spans="1:32" x14ac:dyDescent="0.3">
      <c r="A186" s="64"/>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6"/>
    </row>
    <row r="187" spans="1:32" ht="21" x14ac:dyDescent="0.4">
      <c r="A187" s="64"/>
      <c r="B187" s="89" t="s">
        <v>85</v>
      </c>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6"/>
    </row>
    <row r="188" spans="1:32" ht="21" x14ac:dyDescent="0.4">
      <c r="A188" s="77"/>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81"/>
    </row>
    <row r="189" spans="1:32" ht="21" customHeight="1" x14ac:dyDescent="0.4">
      <c r="A189" s="77"/>
      <c r="B189" s="108" t="e">
        <f>_xlfn.CONCAT(AB158,Scoring!Q146)</f>
        <v>#DIV/0!</v>
      </c>
      <c r="C189" s="108"/>
      <c r="D189" s="108"/>
      <c r="E189" s="108"/>
      <c r="F189" s="108"/>
      <c r="G189" s="108"/>
      <c r="H189" s="108"/>
      <c r="I189" s="108"/>
      <c r="J189" s="108"/>
      <c r="K189" s="108"/>
      <c r="L189" s="108"/>
      <c r="M189" s="108"/>
      <c r="N189" s="108"/>
      <c r="O189" s="108"/>
      <c r="P189" s="108"/>
      <c r="Q189" s="108"/>
      <c r="R189" s="108"/>
      <c r="S189" s="108"/>
      <c r="T189" s="108"/>
      <c r="U189" s="108"/>
      <c r="V189" s="108"/>
      <c r="W189" s="108"/>
      <c r="X189" s="108"/>
      <c r="Y189" s="108"/>
      <c r="Z189" s="109"/>
    </row>
    <row r="190" spans="1:32" ht="21" x14ac:dyDescent="0.4">
      <c r="A190" s="77"/>
      <c r="B190" s="108"/>
      <c r="C190" s="108"/>
      <c r="D190" s="108"/>
      <c r="E190" s="108"/>
      <c r="F190" s="108"/>
      <c r="G190" s="108"/>
      <c r="H190" s="108"/>
      <c r="I190" s="108"/>
      <c r="J190" s="108"/>
      <c r="K190" s="108"/>
      <c r="L190" s="108"/>
      <c r="M190" s="108"/>
      <c r="N190" s="108"/>
      <c r="O190" s="108"/>
      <c r="P190" s="108"/>
      <c r="Q190" s="108"/>
      <c r="R190" s="108"/>
      <c r="S190" s="108"/>
      <c r="T190" s="108"/>
      <c r="U190" s="108"/>
      <c r="V190" s="108"/>
      <c r="W190" s="108"/>
      <c r="X190" s="108"/>
      <c r="Y190" s="108"/>
      <c r="Z190" s="109"/>
    </row>
    <row r="191" spans="1:32" ht="21" x14ac:dyDescent="0.4">
      <c r="A191" s="77"/>
      <c r="B191" s="108"/>
      <c r="C191" s="108"/>
      <c r="D191" s="108"/>
      <c r="E191" s="108"/>
      <c r="F191" s="108"/>
      <c r="G191" s="108"/>
      <c r="H191" s="108"/>
      <c r="I191" s="108"/>
      <c r="J191" s="108"/>
      <c r="K191" s="108"/>
      <c r="L191" s="108"/>
      <c r="M191" s="108"/>
      <c r="N191" s="108"/>
      <c r="O191" s="108"/>
      <c r="P191" s="108"/>
      <c r="Q191" s="108"/>
      <c r="R191" s="108"/>
      <c r="S191" s="108"/>
      <c r="T191" s="108"/>
      <c r="U191" s="108"/>
      <c r="V191" s="108"/>
      <c r="W191" s="108"/>
      <c r="X191" s="108"/>
      <c r="Y191" s="108"/>
      <c r="Z191" s="109"/>
    </row>
    <row r="192" spans="1:32" ht="21" x14ac:dyDescent="0.4">
      <c r="A192" s="77"/>
      <c r="B192" s="108"/>
      <c r="C192" s="108"/>
      <c r="D192" s="108"/>
      <c r="E192" s="108"/>
      <c r="F192" s="108"/>
      <c r="G192" s="108"/>
      <c r="H192" s="108"/>
      <c r="I192" s="108"/>
      <c r="J192" s="108"/>
      <c r="K192" s="108"/>
      <c r="L192" s="108"/>
      <c r="M192" s="108"/>
      <c r="N192" s="108"/>
      <c r="O192" s="108"/>
      <c r="P192" s="108"/>
      <c r="Q192" s="108"/>
      <c r="R192" s="108"/>
      <c r="S192" s="108"/>
      <c r="T192" s="108"/>
      <c r="U192" s="108"/>
      <c r="V192" s="108"/>
      <c r="W192" s="108"/>
      <c r="X192" s="108"/>
      <c r="Y192" s="108"/>
      <c r="Z192" s="109"/>
    </row>
    <row r="193" spans="1:33" ht="21" x14ac:dyDescent="0.4">
      <c r="A193" s="77"/>
      <c r="B193" s="108"/>
      <c r="C193" s="108"/>
      <c r="D193" s="108"/>
      <c r="E193" s="108"/>
      <c r="F193" s="108"/>
      <c r="G193" s="108"/>
      <c r="H193" s="108"/>
      <c r="I193" s="108"/>
      <c r="J193" s="108"/>
      <c r="K193" s="108"/>
      <c r="L193" s="108"/>
      <c r="M193" s="108"/>
      <c r="N193" s="108"/>
      <c r="O193" s="108"/>
      <c r="P193" s="108"/>
      <c r="Q193" s="108"/>
      <c r="R193" s="108"/>
      <c r="S193" s="108"/>
      <c r="T193" s="108"/>
      <c r="U193" s="108"/>
      <c r="V193" s="108"/>
      <c r="W193" s="108"/>
      <c r="X193" s="108"/>
      <c r="Y193" s="108"/>
      <c r="Z193" s="109"/>
    </row>
    <row r="194" spans="1:33" ht="21" x14ac:dyDescent="0.4">
      <c r="A194" s="77"/>
      <c r="B194" s="108"/>
      <c r="C194" s="108"/>
      <c r="D194" s="108"/>
      <c r="E194" s="108"/>
      <c r="F194" s="108"/>
      <c r="G194" s="108"/>
      <c r="H194" s="108"/>
      <c r="I194" s="108"/>
      <c r="J194" s="108"/>
      <c r="K194" s="108"/>
      <c r="L194" s="108"/>
      <c r="M194" s="108"/>
      <c r="N194" s="108"/>
      <c r="O194" s="108"/>
      <c r="P194" s="108"/>
      <c r="Q194" s="108"/>
      <c r="R194" s="108"/>
      <c r="S194" s="108"/>
      <c r="T194" s="108"/>
      <c r="U194" s="108"/>
      <c r="V194" s="108"/>
      <c r="W194" s="108"/>
      <c r="X194" s="108"/>
      <c r="Y194" s="108"/>
      <c r="Z194" s="109"/>
    </row>
    <row r="195" spans="1:33" ht="21" x14ac:dyDescent="0.4">
      <c r="A195" s="77"/>
      <c r="B195" s="108"/>
      <c r="C195" s="108"/>
      <c r="D195" s="108"/>
      <c r="E195" s="108"/>
      <c r="F195" s="108"/>
      <c r="G195" s="108"/>
      <c r="H195" s="108"/>
      <c r="I195" s="108"/>
      <c r="J195" s="108"/>
      <c r="K195" s="108"/>
      <c r="L195" s="108"/>
      <c r="M195" s="108"/>
      <c r="N195" s="108"/>
      <c r="O195" s="108"/>
      <c r="P195" s="108"/>
      <c r="Q195" s="108"/>
      <c r="R195" s="108"/>
      <c r="S195" s="108"/>
      <c r="T195" s="108"/>
      <c r="U195" s="108"/>
      <c r="V195" s="108"/>
      <c r="W195" s="108"/>
      <c r="X195" s="108"/>
      <c r="Y195" s="108"/>
      <c r="Z195" s="109"/>
    </row>
    <row r="196" spans="1:33" ht="21" x14ac:dyDescent="0.4">
      <c r="A196" s="77"/>
      <c r="B196" s="108"/>
      <c r="C196" s="108"/>
      <c r="D196" s="108"/>
      <c r="E196" s="108"/>
      <c r="F196" s="108"/>
      <c r="G196" s="108"/>
      <c r="H196" s="108"/>
      <c r="I196" s="108"/>
      <c r="J196" s="108"/>
      <c r="K196" s="108"/>
      <c r="L196" s="108"/>
      <c r="M196" s="108"/>
      <c r="N196" s="108"/>
      <c r="O196" s="108"/>
      <c r="P196" s="108"/>
      <c r="Q196" s="108"/>
      <c r="R196" s="108"/>
      <c r="S196" s="108"/>
      <c r="T196" s="108"/>
      <c r="U196" s="108"/>
      <c r="V196" s="108"/>
      <c r="W196" s="108"/>
      <c r="X196" s="108"/>
      <c r="Y196" s="108"/>
      <c r="Z196" s="109"/>
    </row>
    <row r="197" spans="1:33" ht="21" x14ac:dyDescent="0.4">
      <c r="A197" s="77"/>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c r="Z197" s="94"/>
    </row>
    <row r="198" spans="1:33" ht="21.6" thickBot="1" x14ac:dyDescent="0.45">
      <c r="A198" s="99"/>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6"/>
    </row>
    <row r="199" spans="1:33" ht="33" x14ac:dyDescent="0.65">
      <c r="A199" s="86" t="s">
        <v>77</v>
      </c>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8"/>
      <c r="AC199" s="45" t="str">
        <f>IF(D12&lt;Lijsten!X5,Lijsten!Y6,IF(D12&lt;Lijsten!X4,Lijsten!Y5,IF(D12&lt;Lijsten!X3,Lijsten!Y4,IF(D12&lt;Lijsten!X2,Lijsten!Y3,IF(D12=Lijsten!X2,Lijsten!Y2,"")))))</f>
        <v xml:space="preserve">Je doet het zeker niet slecht binnen dit thema. Toch hebben we nog enkele tips die je nog meer succes kunnen bezorgen. </v>
      </c>
    </row>
    <row r="200" spans="1:33" ht="21" x14ac:dyDescent="0.4">
      <c r="A200" s="77"/>
      <c r="B200" s="93"/>
      <c r="C200" s="93"/>
      <c r="D200" s="93"/>
      <c r="E200" s="93"/>
      <c r="F200" s="93"/>
      <c r="G200" s="93"/>
      <c r="H200" s="93"/>
      <c r="I200" s="89" t="s">
        <v>85</v>
      </c>
      <c r="J200" s="93"/>
      <c r="K200" s="93"/>
      <c r="L200" s="93"/>
      <c r="M200" s="93"/>
      <c r="N200" s="93"/>
      <c r="O200" s="93"/>
      <c r="P200" s="93"/>
      <c r="Q200" s="93"/>
      <c r="R200" s="93"/>
      <c r="S200" s="93"/>
      <c r="T200" s="93"/>
      <c r="U200" s="93"/>
      <c r="V200" s="93"/>
      <c r="W200" s="93"/>
      <c r="X200" s="93"/>
      <c r="Y200" s="93"/>
      <c r="Z200" s="94"/>
    </row>
    <row r="201" spans="1:33" ht="21" x14ac:dyDescent="0.4">
      <c r="A201" s="77"/>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4"/>
    </row>
    <row r="202" spans="1:33" ht="21" customHeight="1" x14ac:dyDescent="0.4">
      <c r="A202" s="77"/>
      <c r="B202" s="93"/>
      <c r="C202" s="93"/>
      <c r="D202" s="93"/>
      <c r="E202" s="93"/>
      <c r="F202" s="93"/>
      <c r="G202" s="93"/>
      <c r="H202" s="93"/>
      <c r="I202" s="108" t="str">
        <f>_xlfn.CONCAT(AC199,Scoring!Q161)</f>
        <v xml:space="preserve">Je doet het zeker niet slecht binnen dit thema. Toch hebben we nog enkele tips die je nog meer succes kunnen bezorgen. </v>
      </c>
      <c r="J202" s="108"/>
      <c r="K202" s="108"/>
      <c r="L202" s="108"/>
      <c r="M202" s="108"/>
      <c r="N202" s="108"/>
      <c r="O202" s="108"/>
      <c r="P202" s="108"/>
      <c r="Q202" s="108"/>
      <c r="R202" s="108"/>
      <c r="S202" s="108"/>
      <c r="T202" s="108"/>
      <c r="U202" s="108"/>
      <c r="V202" s="108"/>
      <c r="W202" s="108"/>
      <c r="X202" s="108"/>
      <c r="Y202" s="108"/>
      <c r="Z202" s="109"/>
      <c r="AE202" s="45" t="s">
        <v>355</v>
      </c>
      <c r="AF202" s="45" t="s">
        <v>365</v>
      </c>
    </row>
    <row r="203" spans="1:33" ht="21" x14ac:dyDescent="0.4">
      <c r="A203" s="77"/>
      <c r="B203" s="78"/>
      <c r="C203" s="78"/>
      <c r="D203" s="78"/>
      <c r="E203" s="78"/>
      <c r="F203" s="78"/>
      <c r="G203" s="78"/>
      <c r="H203" s="78"/>
      <c r="I203" s="108"/>
      <c r="J203" s="108"/>
      <c r="K203" s="108"/>
      <c r="L203" s="108"/>
      <c r="M203" s="108"/>
      <c r="N203" s="108"/>
      <c r="O203" s="108"/>
      <c r="P203" s="108"/>
      <c r="Q203" s="108"/>
      <c r="R203" s="108"/>
      <c r="S203" s="108"/>
      <c r="T203" s="108"/>
      <c r="U203" s="108"/>
      <c r="V203" s="108"/>
      <c r="W203" s="108"/>
      <c r="X203" s="108"/>
      <c r="Y203" s="108"/>
      <c r="Z203" s="109"/>
      <c r="AC203" s="45" t="s">
        <v>364</v>
      </c>
      <c r="AD203" s="45">
        <f>'Kwaliteit graskuil'!B4</f>
        <v>0</v>
      </c>
      <c r="AE203" s="45">
        <f>IF('Kwaliteit graskuil'!D5=Scoring!N153,AD203,0)</f>
        <v>0</v>
      </c>
      <c r="AF203" s="45">
        <f>IF('Kwaliteit graskuil'!D5=Scoring!N153,0,AD203)</f>
        <v>0</v>
      </c>
    </row>
    <row r="204" spans="1:33" ht="21" x14ac:dyDescent="0.4">
      <c r="A204" s="77"/>
      <c r="B204" s="78"/>
      <c r="C204" s="78"/>
      <c r="D204" s="78"/>
      <c r="E204" s="78"/>
      <c r="F204" s="78"/>
      <c r="G204" s="78"/>
      <c r="H204" s="78"/>
      <c r="I204" s="108"/>
      <c r="J204" s="108"/>
      <c r="K204" s="108"/>
      <c r="L204" s="108"/>
      <c r="M204" s="108"/>
      <c r="N204" s="108"/>
      <c r="O204" s="108"/>
      <c r="P204" s="108"/>
      <c r="Q204" s="108"/>
      <c r="R204" s="108"/>
      <c r="S204" s="108"/>
      <c r="T204" s="108"/>
      <c r="U204" s="108"/>
      <c r="V204" s="108"/>
      <c r="W204" s="108"/>
      <c r="X204" s="108"/>
      <c r="Y204" s="108"/>
      <c r="Z204" s="109"/>
      <c r="AC204" s="45" t="s">
        <v>99</v>
      </c>
      <c r="AD204" s="45">
        <f>'Kwaliteit graskuil'!B5</f>
        <v>0</v>
      </c>
      <c r="AE204" s="45">
        <f>IF('Kwaliteit graskuil'!D5=Scoring!N153,AD204,0)</f>
        <v>0</v>
      </c>
      <c r="AF204" s="45">
        <f>IF('Kwaliteit graskuil'!D5=Scoring!N153,0,AD204)</f>
        <v>0</v>
      </c>
    </row>
    <row r="205" spans="1:33" ht="21" x14ac:dyDescent="0.4">
      <c r="A205" s="77"/>
      <c r="B205" s="78"/>
      <c r="C205" s="78"/>
      <c r="D205" s="78"/>
      <c r="E205" s="78"/>
      <c r="F205" s="78"/>
      <c r="G205" s="78"/>
      <c r="H205" s="78"/>
      <c r="I205" s="108"/>
      <c r="J205" s="108"/>
      <c r="K205" s="108"/>
      <c r="L205" s="108"/>
      <c r="M205" s="108"/>
      <c r="N205" s="108"/>
      <c r="O205" s="108"/>
      <c r="P205" s="108"/>
      <c r="Q205" s="108"/>
      <c r="R205" s="108"/>
      <c r="S205" s="108"/>
      <c r="T205" s="108"/>
      <c r="U205" s="108"/>
      <c r="V205" s="108"/>
      <c r="W205" s="108"/>
      <c r="X205" s="108"/>
      <c r="Y205" s="108"/>
      <c r="Z205" s="109"/>
      <c r="AE205" s="45">
        <f>IF(AE204&gt;0,1,0)</f>
        <v>0</v>
      </c>
      <c r="AF205" s="45">
        <f>IF(AF204&gt;0,1,0)</f>
        <v>0</v>
      </c>
    </row>
    <row r="206" spans="1:33" ht="21" x14ac:dyDescent="0.4">
      <c r="A206" s="77"/>
      <c r="B206" s="78"/>
      <c r="C206" s="78"/>
      <c r="D206" s="78"/>
      <c r="E206" s="78"/>
      <c r="F206" s="78"/>
      <c r="G206" s="78"/>
      <c r="H206" s="78"/>
      <c r="I206" s="108"/>
      <c r="J206" s="108"/>
      <c r="K206" s="108"/>
      <c r="L206" s="108"/>
      <c r="M206" s="108"/>
      <c r="N206" s="108"/>
      <c r="O206" s="108"/>
      <c r="P206" s="108"/>
      <c r="Q206" s="108"/>
      <c r="R206" s="108"/>
      <c r="S206" s="108"/>
      <c r="T206" s="108"/>
      <c r="U206" s="108"/>
      <c r="V206" s="108"/>
      <c r="W206" s="108"/>
      <c r="X206" s="108"/>
      <c r="Y206" s="108"/>
      <c r="Z206" s="109"/>
      <c r="AD206" s="45" t="s">
        <v>88</v>
      </c>
      <c r="AE206" s="45" t="s">
        <v>366</v>
      </c>
      <c r="AF206" s="45" t="s">
        <v>89</v>
      </c>
      <c r="AG206" s="45" t="s">
        <v>90</v>
      </c>
    </row>
    <row r="207" spans="1:33" ht="21" x14ac:dyDescent="0.4">
      <c r="A207" s="77"/>
      <c r="B207" s="78"/>
      <c r="C207" s="78"/>
      <c r="D207" s="78"/>
      <c r="E207" s="78"/>
      <c r="F207" s="78"/>
      <c r="G207" s="78"/>
      <c r="H207" s="78"/>
      <c r="I207" s="108"/>
      <c r="J207" s="108"/>
      <c r="K207" s="108"/>
      <c r="L207" s="108"/>
      <c r="M207" s="108"/>
      <c r="N207" s="108"/>
      <c r="O207" s="108"/>
      <c r="P207" s="108"/>
      <c r="Q207" s="108"/>
      <c r="R207" s="108"/>
      <c r="S207" s="108"/>
      <c r="T207" s="108"/>
      <c r="U207" s="108"/>
      <c r="V207" s="108"/>
      <c r="W207" s="108"/>
      <c r="X207" s="108"/>
      <c r="Y207" s="108"/>
      <c r="Z207" s="109"/>
      <c r="AC207" s="45" t="s">
        <v>367</v>
      </c>
      <c r="AD207" s="45">
        <f>IF('Kwaliteit graskuil'!D6=Scoring!C158,1,0)</f>
        <v>1</v>
      </c>
      <c r="AE207" s="45">
        <f>IF('Kwaliteit graskuil'!D6=Scoring!D158,1,0)</f>
        <v>0</v>
      </c>
      <c r="AF207" s="45">
        <f>IF(OR('Kwaliteit graskuil'!D6=Scoring!E158,'Kwaliteit graskuil'!D6=Scoring!F158),1,0)</f>
        <v>0</v>
      </c>
      <c r="AG207" s="45">
        <f>IF('Kwaliteit graskuil'!D6&lt;Scoring!F158,1,0)</f>
        <v>0</v>
      </c>
    </row>
    <row r="208" spans="1:33" ht="21" x14ac:dyDescent="0.4">
      <c r="A208" s="77"/>
      <c r="B208" s="78"/>
      <c r="C208" s="78"/>
      <c r="D208" s="78"/>
      <c r="E208" s="78"/>
      <c r="F208" s="78"/>
      <c r="G208" s="78"/>
      <c r="H208" s="78"/>
      <c r="I208" s="108"/>
      <c r="J208" s="108"/>
      <c r="K208" s="108"/>
      <c r="L208" s="108"/>
      <c r="M208" s="108"/>
      <c r="N208" s="108"/>
      <c r="O208" s="108"/>
      <c r="P208" s="108"/>
      <c r="Q208" s="108"/>
      <c r="R208" s="108"/>
      <c r="S208" s="108"/>
      <c r="T208" s="108"/>
      <c r="U208" s="108"/>
      <c r="V208" s="108"/>
      <c r="W208" s="108"/>
      <c r="X208" s="108"/>
      <c r="Y208" s="108"/>
      <c r="Z208" s="109"/>
      <c r="AC208" s="45" t="s">
        <v>368</v>
      </c>
      <c r="AD208" s="45">
        <f>IF('Kwaliteit graskuil'!D7=Scoring!C160,1,0)</f>
        <v>1</v>
      </c>
      <c r="AE208" s="45">
        <f>IF(AND('Kwaliteit graskuil'!D7=Scoring!D160),1,0)</f>
        <v>0</v>
      </c>
      <c r="AF208" s="45">
        <f>IF(AND('Kwaliteit graskuil'!D7=Scoring!F160),1,0)</f>
        <v>0</v>
      </c>
      <c r="AG208" s="45">
        <f>IF(AND('Kwaliteit graskuil'!D7&lt;Scoring!F160),1,0)</f>
        <v>0</v>
      </c>
    </row>
    <row r="209" spans="1:26" ht="21" x14ac:dyDescent="0.4">
      <c r="A209" s="77"/>
      <c r="B209" s="78"/>
      <c r="C209" s="78"/>
      <c r="D209" s="78"/>
      <c r="E209" s="78"/>
      <c r="F209" s="78"/>
      <c r="G209" s="78"/>
      <c r="H209" s="78"/>
      <c r="I209" s="108"/>
      <c r="J209" s="108"/>
      <c r="K209" s="108"/>
      <c r="L209" s="108"/>
      <c r="M209" s="108"/>
      <c r="N209" s="108"/>
      <c r="O209" s="108"/>
      <c r="P209" s="108"/>
      <c r="Q209" s="108"/>
      <c r="R209" s="108"/>
      <c r="S209" s="108"/>
      <c r="T209" s="108"/>
      <c r="U209" s="108"/>
      <c r="V209" s="108"/>
      <c r="W209" s="108"/>
      <c r="X209" s="108"/>
      <c r="Y209" s="108"/>
      <c r="Z209" s="109"/>
    </row>
    <row r="210" spans="1:26" ht="21" x14ac:dyDescent="0.4">
      <c r="A210" s="77"/>
      <c r="B210" s="78"/>
      <c r="C210" s="78"/>
      <c r="D210" s="78"/>
      <c r="E210" s="78"/>
      <c r="F210" s="78"/>
      <c r="G210" s="78"/>
      <c r="H210" s="78"/>
      <c r="I210" s="108"/>
      <c r="J210" s="108"/>
      <c r="K210" s="108"/>
      <c r="L210" s="108"/>
      <c r="M210" s="108"/>
      <c r="N210" s="108"/>
      <c r="O210" s="108"/>
      <c r="P210" s="108"/>
      <c r="Q210" s="108"/>
      <c r="R210" s="108"/>
      <c r="S210" s="108"/>
      <c r="T210" s="108"/>
      <c r="U210" s="108"/>
      <c r="V210" s="108"/>
      <c r="W210" s="108"/>
      <c r="X210" s="108"/>
      <c r="Y210" s="108"/>
      <c r="Z210" s="109"/>
    </row>
    <row r="211" spans="1:26" ht="21" x14ac:dyDescent="0.4">
      <c r="A211" s="77"/>
      <c r="B211" s="78"/>
      <c r="C211" s="78"/>
      <c r="D211" s="78"/>
      <c r="E211" s="78"/>
      <c r="F211" s="78"/>
      <c r="G211" s="78"/>
      <c r="H211" s="78"/>
      <c r="I211" s="108"/>
      <c r="J211" s="108"/>
      <c r="K211" s="108"/>
      <c r="L211" s="108"/>
      <c r="M211" s="108"/>
      <c r="N211" s="108"/>
      <c r="O211" s="108"/>
      <c r="P211" s="108"/>
      <c r="Q211" s="108"/>
      <c r="R211" s="108"/>
      <c r="S211" s="108"/>
      <c r="T211" s="108"/>
      <c r="U211" s="108"/>
      <c r="V211" s="108"/>
      <c r="W211" s="108"/>
      <c r="X211" s="108"/>
      <c r="Y211" s="108"/>
      <c r="Z211" s="109"/>
    </row>
    <row r="212" spans="1:26" ht="21" x14ac:dyDescent="0.4">
      <c r="A212" s="77"/>
      <c r="B212" s="78"/>
      <c r="C212" s="78"/>
      <c r="D212" s="78"/>
      <c r="E212" s="78"/>
      <c r="F212" s="78"/>
      <c r="G212" s="78"/>
      <c r="H212" s="78"/>
      <c r="I212" s="108"/>
      <c r="J212" s="108"/>
      <c r="K212" s="108"/>
      <c r="L212" s="108"/>
      <c r="M212" s="108"/>
      <c r="N212" s="108"/>
      <c r="O212" s="108"/>
      <c r="P212" s="108"/>
      <c r="Q212" s="108"/>
      <c r="R212" s="108"/>
      <c r="S212" s="108"/>
      <c r="T212" s="108"/>
      <c r="U212" s="108"/>
      <c r="V212" s="108"/>
      <c r="W212" s="108"/>
      <c r="X212" s="108"/>
      <c r="Y212" s="108"/>
      <c r="Z212" s="109"/>
    </row>
    <row r="213" spans="1:26" ht="21" x14ac:dyDescent="0.4">
      <c r="A213" s="77"/>
      <c r="B213" s="78"/>
      <c r="C213" s="78"/>
      <c r="D213" s="78"/>
      <c r="E213" s="78"/>
      <c r="F213" s="78"/>
      <c r="G213" s="78"/>
      <c r="H213" s="78"/>
      <c r="I213" s="108"/>
      <c r="J213" s="108"/>
      <c r="K213" s="108"/>
      <c r="L213" s="108"/>
      <c r="M213" s="108"/>
      <c r="N213" s="108"/>
      <c r="O213" s="108"/>
      <c r="P213" s="108"/>
      <c r="Q213" s="108"/>
      <c r="R213" s="108"/>
      <c r="S213" s="108"/>
      <c r="T213" s="108"/>
      <c r="U213" s="108"/>
      <c r="V213" s="108"/>
      <c r="W213" s="108"/>
      <c r="X213" s="108"/>
      <c r="Y213" s="108"/>
      <c r="Z213" s="109"/>
    </row>
    <row r="214" spans="1:26" ht="21" x14ac:dyDescent="0.4">
      <c r="A214" s="77"/>
      <c r="B214" s="78"/>
      <c r="C214" s="78"/>
      <c r="D214" s="78"/>
      <c r="E214" s="78"/>
      <c r="F214" s="78"/>
      <c r="G214" s="78"/>
      <c r="H214" s="78"/>
      <c r="I214" s="93"/>
      <c r="J214" s="93"/>
      <c r="K214" s="93"/>
      <c r="L214" s="93"/>
      <c r="M214" s="93"/>
      <c r="N214" s="93"/>
      <c r="O214" s="93"/>
      <c r="P214" s="93"/>
      <c r="Q214" s="93"/>
      <c r="R214" s="93"/>
      <c r="S214" s="93"/>
      <c r="T214" s="93"/>
      <c r="U214" s="93"/>
      <c r="V214" s="93"/>
      <c r="W214" s="93"/>
      <c r="X214" s="93"/>
      <c r="Y214" s="93"/>
      <c r="Z214" s="94"/>
    </row>
    <row r="215" spans="1:26" ht="21" x14ac:dyDescent="0.4">
      <c r="A215" s="77"/>
      <c r="B215" s="78"/>
      <c r="C215" s="78"/>
      <c r="D215" s="78"/>
      <c r="E215" s="78"/>
      <c r="F215" s="78"/>
      <c r="G215" s="78"/>
      <c r="H215" s="78"/>
      <c r="I215" s="93"/>
      <c r="J215" s="93"/>
      <c r="K215" s="93"/>
      <c r="L215" s="93"/>
      <c r="M215" s="93"/>
      <c r="N215" s="93"/>
      <c r="O215" s="93"/>
      <c r="P215" s="93"/>
      <c r="Q215" s="93"/>
      <c r="R215" s="93"/>
      <c r="S215" s="93"/>
      <c r="T215" s="93"/>
      <c r="U215" s="93"/>
      <c r="V215" s="93"/>
      <c r="W215" s="93"/>
      <c r="X215" s="93"/>
      <c r="Y215" s="93"/>
      <c r="Z215" s="94"/>
    </row>
    <row r="216" spans="1:26" ht="21" x14ac:dyDescent="0.4">
      <c r="A216" s="77"/>
      <c r="B216" s="78"/>
      <c r="C216" s="78"/>
      <c r="D216" s="78"/>
      <c r="E216" s="78"/>
      <c r="F216" s="78"/>
      <c r="G216" s="78"/>
      <c r="H216" s="78"/>
      <c r="I216" s="93"/>
      <c r="J216" s="93"/>
      <c r="K216" s="93"/>
      <c r="L216" s="93"/>
      <c r="M216" s="93"/>
      <c r="N216" s="93"/>
      <c r="O216" s="93"/>
      <c r="P216" s="93"/>
      <c r="Q216" s="93"/>
      <c r="R216" s="93"/>
      <c r="S216" s="93"/>
      <c r="T216" s="93"/>
      <c r="U216" s="93"/>
      <c r="V216" s="93"/>
      <c r="W216" s="93"/>
      <c r="X216" s="93"/>
      <c r="Y216" s="93"/>
      <c r="Z216" s="94"/>
    </row>
    <row r="217" spans="1:26" ht="21" x14ac:dyDescent="0.4">
      <c r="A217" s="77"/>
      <c r="B217" s="78"/>
      <c r="C217" s="78"/>
      <c r="D217" s="78"/>
      <c r="E217" s="78"/>
      <c r="F217" s="78"/>
      <c r="G217" s="78"/>
      <c r="H217" s="78"/>
      <c r="I217" s="93"/>
      <c r="J217" s="93"/>
      <c r="K217" s="93"/>
      <c r="L217" s="93"/>
      <c r="M217" s="93"/>
      <c r="N217" s="93"/>
      <c r="O217" s="93"/>
      <c r="P217" s="93"/>
      <c r="Q217" s="93"/>
      <c r="R217" s="93"/>
      <c r="S217" s="93"/>
      <c r="T217" s="93"/>
      <c r="U217" s="93"/>
      <c r="V217" s="93"/>
      <c r="W217" s="93"/>
      <c r="X217" s="93"/>
      <c r="Y217" s="93"/>
      <c r="Z217" s="94"/>
    </row>
    <row r="218" spans="1:26" ht="21" x14ac:dyDescent="0.4">
      <c r="A218" s="77"/>
      <c r="B218" s="78"/>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81"/>
    </row>
    <row r="219" spans="1:26" ht="21" x14ac:dyDescent="0.4">
      <c r="A219" s="77"/>
      <c r="B219" s="78"/>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81"/>
    </row>
    <row r="220" spans="1:26" ht="21" x14ac:dyDescent="0.4">
      <c r="A220" s="77"/>
      <c r="B220" s="78"/>
      <c r="C220" s="78"/>
      <c r="D220" s="78"/>
      <c r="E220" s="78"/>
      <c r="F220" s="78"/>
      <c r="G220" s="78"/>
      <c r="H220" s="78"/>
      <c r="I220" s="78"/>
      <c r="J220" s="78"/>
      <c r="K220" s="78"/>
      <c r="L220" s="78"/>
      <c r="M220" s="78"/>
      <c r="N220" s="78"/>
      <c r="O220" s="78"/>
      <c r="P220" s="78"/>
      <c r="Q220" s="78"/>
      <c r="R220" s="78"/>
      <c r="S220" s="78"/>
      <c r="T220" s="78"/>
      <c r="U220" s="78"/>
      <c r="V220" s="78"/>
      <c r="W220" s="78"/>
      <c r="X220" s="78"/>
      <c r="Y220" s="78"/>
      <c r="Z220" s="81"/>
    </row>
    <row r="221" spans="1:26" ht="21" x14ac:dyDescent="0.4">
      <c r="A221" s="77"/>
      <c r="B221" s="78"/>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81"/>
    </row>
    <row r="222" spans="1:26" ht="21" x14ac:dyDescent="0.4">
      <c r="A222" s="77"/>
      <c r="B222" s="78"/>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81"/>
    </row>
    <row r="223" spans="1:26" ht="21" x14ac:dyDescent="0.4">
      <c r="A223" s="77"/>
      <c r="B223" s="78"/>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81"/>
    </row>
    <row r="224" spans="1:26" ht="21" x14ac:dyDescent="0.4">
      <c r="A224" s="77"/>
      <c r="B224" s="78"/>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81"/>
    </row>
    <row r="225" spans="1:35" ht="21.6" thickBot="1" x14ac:dyDescent="0.45">
      <c r="A225" s="99"/>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4"/>
      <c r="Z225" s="85"/>
    </row>
    <row r="226" spans="1:35" ht="33" x14ac:dyDescent="0.65">
      <c r="A226" s="86" t="s">
        <v>78</v>
      </c>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8"/>
      <c r="AC226" s="45" t="e">
        <f>IF(H12&lt;Lijsten!X5,Lijsten!Y6,IF(H12&lt;Lijsten!X4,Lijsten!Y5,IF(H12&lt;Lijsten!X3,Lijsten!Y4,IF(H12&lt;Lijsten!X2,Lijsten!Y3,IF(H12=Lijsten!X2,Lijsten!Y2,"")))))</f>
        <v>#N/A</v>
      </c>
    </row>
    <row r="227" spans="1:35" ht="21" x14ac:dyDescent="0.4">
      <c r="A227" s="77"/>
      <c r="B227" s="78"/>
      <c r="C227" s="78"/>
      <c r="D227" s="78"/>
      <c r="E227" s="78"/>
      <c r="F227" s="78"/>
      <c r="G227" s="78"/>
      <c r="H227" s="78"/>
      <c r="I227" s="89" t="s">
        <v>85</v>
      </c>
      <c r="J227" s="78"/>
      <c r="K227" s="78"/>
      <c r="L227" s="78"/>
      <c r="M227" s="78"/>
      <c r="N227" s="78"/>
      <c r="O227" s="78"/>
      <c r="P227" s="78"/>
      <c r="Q227" s="78"/>
      <c r="R227" s="78"/>
      <c r="S227" s="78"/>
      <c r="T227" s="78"/>
      <c r="U227" s="78"/>
      <c r="V227" s="78"/>
      <c r="W227" s="78"/>
      <c r="X227" s="78"/>
      <c r="Y227" s="78"/>
      <c r="Z227" s="81"/>
    </row>
    <row r="228" spans="1:35" ht="21" x14ac:dyDescent="0.4">
      <c r="A228" s="77"/>
      <c r="B228" s="78"/>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81"/>
      <c r="AC228" s="45" t="s">
        <v>370</v>
      </c>
      <c r="AD228" s="79" t="s">
        <v>20</v>
      </c>
      <c r="AE228" s="79" t="s">
        <v>87</v>
      </c>
      <c r="AF228" s="79" t="s">
        <v>88</v>
      </c>
      <c r="AG228" s="79" t="s">
        <v>366</v>
      </c>
      <c r="AH228" s="79" t="s">
        <v>89</v>
      </c>
      <c r="AI228" s="79" t="s">
        <v>90</v>
      </c>
    </row>
    <row r="229" spans="1:35" ht="21" x14ac:dyDescent="0.4">
      <c r="A229" s="77"/>
      <c r="B229" s="78"/>
      <c r="C229" s="78"/>
      <c r="D229" s="78"/>
      <c r="E229" s="78"/>
      <c r="F229" s="78"/>
      <c r="G229" s="78"/>
      <c r="H229" s="78"/>
      <c r="I229" s="108" t="e">
        <f>_xlfn.CONCAT(AC226,Scoring!Q194)</f>
        <v>#N/A</v>
      </c>
      <c r="J229" s="108"/>
      <c r="K229" s="108"/>
      <c r="L229" s="108"/>
      <c r="M229" s="108"/>
      <c r="N229" s="108"/>
      <c r="O229" s="108"/>
      <c r="P229" s="108"/>
      <c r="Q229" s="108"/>
      <c r="R229" s="108"/>
      <c r="S229" s="108"/>
      <c r="T229" s="108"/>
      <c r="U229" s="108"/>
      <c r="V229" s="108"/>
      <c r="W229" s="108"/>
      <c r="X229" s="108"/>
      <c r="Y229" s="108"/>
      <c r="Z229" s="109"/>
      <c r="AC229" s="45" t="s">
        <v>371</v>
      </c>
      <c r="AD229" s="45" t="e">
        <f>'In-uitkuilen'!C2</f>
        <v>#N/A</v>
      </c>
      <c r="AE229" s="45">
        <f>Scoring!N164</f>
        <v>1</v>
      </c>
      <c r="AF229" s="79" t="e">
        <f>IF(SUM(AD229:AD233)=SUM(AE229:AE233),1,0)</f>
        <v>#N/A</v>
      </c>
      <c r="AG229" s="79" t="e">
        <f>IF(AND(SUM(AD229:AD233)&gt;(SUM(AE229:AE233)*0.7),SUM(AD229:AD233)&lt;SUM(AE229:AE233)),1,0)</f>
        <v>#N/A</v>
      </c>
      <c r="AH229" s="79" t="e">
        <f>IF(AND(SUM(AD229:AD233)&gt;(SUM(AE229:AE233)/2),SUM(AD229:AD233)&lt;SUM(AE229:AE233)*0.7),1,0)</f>
        <v>#N/A</v>
      </c>
      <c r="AI229" s="45" t="e">
        <f>IF(OR(SUM(AD229:AD233)&lt;(SUM(AE229:AE233)/2),SUM(AD229:AD233)=(SUM(AE229:AE233)/2)),1,0)</f>
        <v>#N/A</v>
      </c>
    </row>
    <row r="230" spans="1:35" ht="21" x14ac:dyDescent="0.4">
      <c r="A230" s="77"/>
      <c r="B230" s="78"/>
      <c r="C230" s="78"/>
      <c r="D230" s="78"/>
      <c r="E230" s="78"/>
      <c r="F230" s="78"/>
      <c r="G230" s="78"/>
      <c r="H230" s="78"/>
      <c r="I230" s="108"/>
      <c r="J230" s="108"/>
      <c r="K230" s="108"/>
      <c r="L230" s="108"/>
      <c r="M230" s="108"/>
      <c r="N230" s="108"/>
      <c r="O230" s="108"/>
      <c r="P230" s="108"/>
      <c r="Q230" s="108"/>
      <c r="R230" s="108"/>
      <c r="S230" s="108"/>
      <c r="T230" s="108"/>
      <c r="U230" s="108"/>
      <c r="V230" s="108"/>
      <c r="W230" s="108"/>
      <c r="X230" s="108"/>
      <c r="Y230" s="108"/>
      <c r="Z230" s="109"/>
      <c r="AC230" s="45" t="s">
        <v>372</v>
      </c>
      <c r="AD230" s="45" t="e">
        <f>'In-uitkuilen'!C4</f>
        <v>#N/A</v>
      </c>
      <c r="AE230" s="45">
        <f>Scoring!N168</f>
        <v>1</v>
      </c>
    </row>
    <row r="231" spans="1:35" ht="21" x14ac:dyDescent="0.4">
      <c r="A231" s="77"/>
      <c r="B231" s="78"/>
      <c r="C231" s="78"/>
      <c r="D231" s="78"/>
      <c r="E231" s="78"/>
      <c r="F231" s="78"/>
      <c r="G231" s="78"/>
      <c r="H231" s="78"/>
      <c r="I231" s="108"/>
      <c r="J231" s="108"/>
      <c r="K231" s="108"/>
      <c r="L231" s="108"/>
      <c r="M231" s="108"/>
      <c r="N231" s="108"/>
      <c r="O231" s="108"/>
      <c r="P231" s="108"/>
      <c r="Q231" s="108"/>
      <c r="R231" s="108"/>
      <c r="S231" s="108"/>
      <c r="T231" s="108"/>
      <c r="U231" s="108"/>
      <c r="V231" s="108"/>
      <c r="W231" s="108"/>
      <c r="X231" s="108"/>
      <c r="Y231" s="108"/>
      <c r="Z231" s="109"/>
      <c r="AC231" s="45" t="s">
        <v>373</v>
      </c>
      <c r="AD231" s="45" t="e">
        <f>'In-uitkuilen'!C12</f>
        <v>#N/A</v>
      </c>
      <c r="AE231" s="45">
        <f>Scoring!N184</f>
        <v>1</v>
      </c>
    </row>
    <row r="232" spans="1:35" ht="21" x14ac:dyDescent="0.4">
      <c r="A232" s="77"/>
      <c r="B232" s="78"/>
      <c r="C232" s="78"/>
      <c r="D232" s="78"/>
      <c r="E232" s="78"/>
      <c r="F232" s="78"/>
      <c r="G232" s="78"/>
      <c r="H232" s="78"/>
      <c r="I232" s="108"/>
      <c r="J232" s="108"/>
      <c r="K232" s="108"/>
      <c r="L232" s="108"/>
      <c r="M232" s="108"/>
      <c r="N232" s="108"/>
      <c r="O232" s="108"/>
      <c r="P232" s="108"/>
      <c r="Q232" s="108"/>
      <c r="R232" s="108"/>
      <c r="S232" s="108"/>
      <c r="T232" s="108"/>
      <c r="U232" s="108"/>
      <c r="V232" s="108"/>
      <c r="W232" s="108"/>
      <c r="X232" s="108"/>
      <c r="Y232" s="108"/>
      <c r="Z232" s="109"/>
      <c r="AC232" s="45" t="s">
        <v>374</v>
      </c>
      <c r="AD232" s="45" t="e">
        <f>'In-uitkuilen'!C14</f>
        <v>#N/A</v>
      </c>
      <c r="AE232" s="45">
        <f>Scoring!N188</f>
        <v>1</v>
      </c>
    </row>
    <row r="233" spans="1:35" ht="21" x14ac:dyDescent="0.4">
      <c r="A233" s="77"/>
      <c r="B233" s="78"/>
      <c r="C233" s="78"/>
      <c r="D233" s="78"/>
      <c r="E233" s="78"/>
      <c r="F233" s="78"/>
      <c r="G233" s="78"/>
      <c r="H233" s="78"/>
      <c r="I233" s="108"/>
      <c r="J233" s="108"/>
      <c r="K233" s="108"/>
      <c r="L233" s="108"/>
      <c r="M233" s="108"/>
      <c r="N233" s="108"/>
      <c r="O233" s="108"/>
      <c r="P233" s="108"/>
      <c r="Q233" s="108"/>
      <c r="R233" s="108"/>
      <c r="S233" s="108"/>
      <c r="T233" s="108"/>
      <c r="U233" s="108"/>
      <c r="V233" s="108"/>
      <c r="W233" s="108"/>
      <c r="X233" s="108"/>
      <c r="Y233" s="108"/>
      <c r="Z233" s="109"/>
      <c r="AC233" s="45" t="s">
        <v>375</v>
      </c>
      <c r="AD233" s="45" t="e">
        <f>'In-uitkuilen'!C16</f>
        <v>#N/A</v>
      </c>
      <c r="AE233" s="45">
        <f>Scoring!N192</f>
        <v>1</v>
      </c>
    </row>
    <row r="234" spans="1:35" ht="21" x14ac:dyDescent="0.4">
      <c r="A234" s="77"/>
      <c r="B234" s="78"/>
      <c r="C234" s="78"/>
      <c r="D234" s="78"/>
      <c r="E234" s="78"/>
      <c r="F234" s="78"/>
      <c r="G234" s="78"/>
      <c r="H234" s="78"/>
      <c r="I234" s="108"/>
      <c r="J234" s="108"/>
      <c r="K234" s="108"/>
      <c r="L234" s="108"/>
      <c r="M234" s="108"/>
      <c r="N234" s="108"/>
      <c r="O234" s="108"/>
      <c r="P234" s="108"/>
      <c r="Q234" s="108"/>
      <c r="R234" s="108"/>
      <c r="S234" s="108"/>
      <c r="T234" s="108"/>
      <c r="U234" s="108"/>
      <c r="V234" s="108"/>
      <c r="W234" s="108"/>
      <c r="X234" s="108"/>
      <c r="Y234" s="108"/>
      <c r="Z234" s="109"/>
    </row>
    <row r="235" spans="1:35" ht="21" x14ac:dyDescent="0.4">
      <c r="A235" s="77"/>
      <c r="B235" s="78"/>
      <c r="C235" s="78"/>
      <c r="D235" s="78"/>
      <c r="E235" s="78"/>
      <c r="F235" s="78"/>
      <c r="G235" s="78"/>
      <c r="H235" s="78"/>
      <c r="I235" s="108"/>
      <c r="J235" s="108"/>
      <c r="K235" s="108"/>
      <c r="L235" s="108"/>
      <c r="M235" s="108"/>
      <c r="N235" s="108"/>
      <c r="O235" s="108"/>
      <c r="P235" s="108"/>
      <c r="Q235" s="108"/>
      <c r="R235" s="108"/>
      <c r="S235" s="108"/>
      <c r="T235" s="108"/>
      <c r="U235" s="108"/>
      <c r="V235" s="108"/>
      <c r="W235" s="108"/>
      <c r="X235" s="108"/>
      <c r="Y235" s="108"/>
      <c r="Z235" s="109"/>
      <c r="AC235" s="45" t="s">
        <v>376</v>
      </c>
      <c r="AD235" s="79" t="s">
        <v>20</v>
      </c>
      <c r="AE235" s="79" t="s">
        <v>87</v>
      </c>
      <c r="AF235" s="79" t="s">
        <v>88</v>
      </c>
      <c r="AG235" s="79" t="s">
        <v>90</v>
      </c>
    </row>
    <row r="236" spans="1:35" ht="21" x14ac:dyDescent="0.4">
      <c r="A236" s="77"/>
      <c r="B236" s="78"/>
      <c r="C236" s="78"/>
      <c r="D236" s="78"/>
      <c r="E236" s="78"/>
      <c r="F236" s="78"/>
      <c r="G236" s="78"/>
      <c r="H236" s="78"/>
      <c r="I236" s="108"/>
      <c r="J236" s="108"/>
      <c r="K236" s="108"/>
      <c r="L236" s="108"/>
      <c r="M236" s="108"/>
      <c r="N236" s="108"/>
      <c r="O236" s="108"/>
      <c r="P236" s="108"/>
      <c r="Q236" s="108"/>
      <c r="R236" s="108"/>
      <c r="S236" s="108"/>
      <c r="T236" s="108"/>
      <c r="U236" s="108"/>
      <c r="V236" s="108"/>
      <c r="W236" s="108"/>
      <c r="X236" s="108"/>
      <c r="Y236" s="108"/>
      <c r="Z236" s="109"/>
      <c r="AD236" s="45" t="e">
        <f>'In-uitkuilen'!C3</f>
        <v>#N/A</v>
      </c>
      <c r="AE236" s="45">
        <f>Scoring!N166</f>
        <v>1</v>
      </c>
      <c r="AF236" s="79" t="e">
        <f>IF(AD236=AE236,1,0)</f>
        <v>#N/A</v>
      </c>
      <c r="AG236" s="79" t="e">
        <f>IF(AD236=AE236,0,1)</f>
        <v>#N/A</v>
      </c>
    </row>
    <row r="237" spans="1:35" ht="21" x14ac:dyDescent="0.4">
      <c r="A237" s="77"/>
      <c r="B237" s="78"/>
      <c r="C237" s="78"/>
      <c r="D237" s="78"/>
      <c r="E237" s="78"/>
      <c r="F237" s="78"/>
      <c r="G237" s="78"/>
      <c r="H237" s="78"/>
      <c r="I237" s="108"/>
      <c r="J237" s="108"/>
      <c r="K237" s="108"/>
      <c r="L237" s="108"/>
      <c r="M237" s="108"/>
      <c r="N237" s="108"/>
      <c r="O237" s="108"/>
      <c r="P237" s="108"/>
      <c r="Q237" s="108"/>
      <c r="R237" s="108"/>
      <c r="S237" s="108"/>
      <c r="T237" s="108"/>
      <c r="U237" s="108"/>
      <c r="V237" s="108"/>
      <c r="W237" s="108"/>
      <c r="X237" s="108"/>
      <c r="Y237" s="108"/>
      <c r="Z237" s="109"/>
      <c r="AC237" s="45" t="s">
        <v>377</v>
      </c>
      <c r="AD237" s="79" t="s">
        <v>20</v>
      </c>
      <c r="AE237" s="79" t="s">
        <v>87</v>
      </c>
      <c r="AF237" s="79" t="s">
        <v>88</v>
      </c>
      <c r="AG237" s="79" t="s">
        <v>89</v>
      </c>
      <c r="AH237" s="79" t="s">
        <v>90</v>
      </c>
    </row>
    <row r="238" spans="1:35" ht="21" x14ac:dyDescent="0.4">
      <c r="A238" s="77"/>
      <c r="B238" s="78"/>
      <c r="C238" s="78"/>
      <c r="D238" s="78"/>
      <c r="E238" s="78"/>
      <c r="F238" s="78"/>
      <c r="G238" s="78"/>
      <c r="H238" s="78"/>
      <c r="I238" s="108"/>
      <c r="J238" s="108"/>
      <c r="K238" s="108"/>
      <c r="L238" s="108"/>
      <c r="M238" s="108"/>
      <c r="N238" s="108"/>
      <c r="O238" s="108"/>
      <c r="P238" s="108"/>
      <c r="Q238" s="108"/>
      <c r="R238" s="108"/>
      <c r="S238" s="108"/>
      <c r="T238" s="108"/>
      <c r="U238" s="108"/>
      <c r="V238" s="108"/>
      <c r="W238" s="108"/>
      <c r="X238" s="108"/>
      <c r="Y238" s="108"/>
      <c r="Z238" s="109"/>
      <c r="AD238" s="79" t="e">
        <f>'In-uitkuilen'!C7</f>
        <v>#N/A</v>
      </c>
      <c r="AE238" s="79">
        <f>Scoring!N174</f>
        <v>1</v>
      </c>
      <c r="AF238" s="79" t="e">
        <f>IF(SUM(AD238:AD239)=SUM(AE238:AE239),1,0)</f>
        <v>#N/A</v>
      </c>
      <c r="AG238" s="79" t="e">
        <f>IF(AND(SUM(AD238:AD239)&gt;(SUM(AE238:AE239)/2.1),SUM(AD238:AD239)&lt;SUM(AE238:AE239)),1,0)</f>
        <v>#N/A</v>
      </c>
      <c r="AH238" s="79" t="e">
        <f>IF(SUM(AD238:AD239)&lt;(SUM(AE238:AE239)/2.1),1,0)</f>
        <v>#N/A</v>
      </c>
    </row>
    <row r="239" spans="1:35" ht="21" x14ac:dyDescent="0.4">
      <c r="A239" s="77"/>
      <c r="B239" s="78"/>
      <c r="C239" s="78"/>
      <c r="D239" s="78"/>
      <c r="E239" s="78"/>
      <c r="F239" s="78"/>
      <c r="G239" s="78"/>
      <c r="H239" s="78"/>
      <c r="I239" s="108"/>
      <c r="J239" s="108"/>
      <c r="K239" s="108"/>
      <c r="L239" s="108"/>
      <c r="M239" s="108"/>
      <c r="N239" s="108"/>
      <c r="O239" s="108"/>
      <c r="P239" s="108"/>
      <c r="Q239" s="108"/>
      <c r="R239" s="108"/>
      <c r="S239" s="108"/>
      <c r="T239" s="108"/>
      <c r="U239" s="108"/>
      <c r="V239" s="108"/>
      <c r="W239" s="108"/>
      <c r="X239" s="108"/>
      <c r="Y239" s="108"/>
      <c r="Z239" s="109"/>
      <c r="AD239" s="79" t="e">
        <f>'In-uitkuilen'!C9</f>
        <v>#N/A</v>
      </c>
      <c r="AE239" s="79">
        <f>Scoring!N178</f>
        <v>1</v>
      </c>
      <c r="AF239" s="79"/>
      <c r="AG239" s="79"/>
      <c r="AH239" s="79"/>
    </row>
    <row r="240" spans="1:35" ht="21" x14ac:dyDescent="0.4">
      <c r="A240" s="77"/>
      <c r="B240" s="78"/>
      <c r="C240" s="78"/>
      <c r="D240" s="78"/>
      <c r="E240" s="78"/>
      <c r="F240" s="78"/>
      <c r="G240" s="78"/>
      <c r="H240" s="78"/>
      <c r="I240" s="108"/>
      <c r="J240" s="108"/>
      <c r="K240" s="108"/>
      <c r="L240" s="108"/>
      <c r="M240" s="108"/>
      <c r="N240" s="108"/>
      <c r="O240" s="108"/>
      <c r="P240" s="108"/>
      <c r="Q240" s="108"/>
      <c r="R240" s="108"/>
      <c r="S240" s="108"/>
      <c r="T240" s="108"/>
      <c r="U240" s="108"/>
      <c r="V240" s="108"/>
      <c r="W240" s="108"/>
      <c r="X240" s="108"/>
      <c r="Y240" s="108"/>
      <c r="Z240" s="109"/>
    </row>
    <row r="241" spans="1:35" ht="21" x14ac:dyDescent="0.4">
      <c r="A241" s="77"/>
      <c r="B241" s="78"/>
      <c r="C241" s="78"/>
      <c r="D241" s="78"/>
      <c r="E241" s="78"/>
      <c r="F241" s="78"/>
      <c r="G241" s="78"/>
      <c r="H241" s="78"/>
      <c r="I241" s="78"/>
      <c r="J241" s="78"/>
      <c r="K241" s="78"/>
      <c r="L241" s="78"/>
      <c r="M241" s="78"/>
      <c r="N241" s="78"/>
      <c r="O241" s="78"/>
      <c r="P241" s="78"/>
      <c r="Q241" s="78"/>
      <c r="R241" s="78"/>
      <c r="S241" s="78"/>
      <c r="T241" s="78"/>
      <c r="U241" s="78"/>
      <c r="V241" s="78"/>
      <c r="W241" s="78"/>
      <c r="X241" s="78"/>
      <c r="Y241" s="78"/>
      <c r="Z241" s="81"/>
    </row>
    <row r="242" spans="1:35" ht="21" x14ac:dyDescent="0.4">
      <c r="A242" s="77"/>
      <c r="B242" s="78"/>
      <c r="C242" s="78"/>
      <c r="D242" s="78"/>
      <c r="E242" s="78"/>
      <c r="F242" s="78"/>
      <c r="G242" s="78"/>
      <c r="H242" s="78"/>
      <c r="I242" s="78"/>
      <c r="J242" s="78"/>
      <c r="K242" s="78"/>
      <c r="L242" s="78"/>
      <c r="M242" s="78"/>
      <c r="N242" s="78"/>
      <c r="O242" s="78"/>
      <c r="P242" s="78"/>
      <c r="Q242" s="78"/>
      <c r="R242" s="78"/>
      <c r="S242" s="78"/>
      <c r="T242" s="78"/>
      <c r="U242" s="78"/>
      <c r="V242" s="78"/>
      <c r="W242" s="78"/>
      <c r="X242" s="78"/>
      <c r="Y242" s="78"/>
      <c r="Z242" s="81"/>
    </row>
    <row r="243" spans="1:35" ht="21" x14ac:dyDescent="0.4">
      <c r="A243" s="77"/>
      <c r="B243" s="78"/>
      <c r="C243" s="78"/>
      <c r="D243" s="78"/>
      <c r="E243" s="78"/>
      <c r="F243" s="78"/>
      <c r="G243" s="78"/>
      <c r="H243" s="78"/>
      <c r="I243" s="78"/>
      <c r="J243" s="78"/>
      <c r="K243" s="78"/>
      <c r="L243" s="78"/>
      <c r="M243" s="78"/>
      <c r="N243" s="78"/>
      <c r="O243" s="78"/>
      <c r="P243" s="78"/>
      <c r="Q243" s="78"/>
      <c r="R243" s="78"/>
      <c r="S243" s="78"/>
      <c r="T243" s="78"/>
      <c r="U243" s="78"/>
      <c r="V243" s="78"/>
      <c r="W243" s="78"/>
      <c r="X243" s="78"/>
      <c r="Y243" s="78"/>
      <c r="Z243" s="81"/>
    </row>
    <row r="244" spans="1:35" ht="21" x14ac:dyDescent="0.4">
      <c r="A244" s="77"/>
      <c r="B244" s="78"/>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81"/>
    </row>
    <row r="245" spans="1:35" ht="21" x14ac:dyDescent="0.4">
      <c r="A245" s="77"/>
      <c r="B245" s="78"/>
      <c r="C245" s="78"/>
      <c r="D245" s="78"/>
      <c r="E245" s="78"/>
      <c r="F245" s="78"/>
      <c r="G245" s="78"/>
      <c r="H245" s="78"/>
      <c r="I245" s="78"/>
      <c r="J245" s="78"/>
      <c r="K245" s="78"/>
      <c r="L245" s="78"/>
      <c r="M245" s="78"/>
      <c r="N245" s="78"/>
      <c r="O245" s="78"/>
      <c r="P245" s="78"/>
      <c r="Q245" s="78"/>
      <c r="R245" s="78"/>
      <c r="S245" s="78"/>
      <c r="T245" s="78"/>
      <c r="U245" s="78"/>
      <c r="V245" s="78"/>
      <c r="W245" s="78"/>
      <c r="X245" s="78"/>
      <c r="Y245" s="78"/>
      <c r="Z245" s="81"/>
    </row>
    <row r="246" spans="1:35" ht="21" x14ac:dyDescent="0.4">
      <c r="A246" s="77"/>
      <c r="B246" s="78"/>
      <c r="C246" s="78"/>
      <c r="D246" s="78"/>
      <c r="E246" s="78"/>
      <c r="F246" s="78"/>
      <c r="G246" s="78"/>
      <c r="H246" s="78"/>
      <c r="I246" s="78"/>
      <c r="J246" s="78"/>
      <c r="K246" s="78"/>
      <c r="L246" s="78"/>
      <c r="M246" s="78"/>
      <c r="N246" s="78"/>
      <c r="O246" s="78"/>
      <c r="P246" s="78"/>
      <c r="Q246" s="78"/>
      <c r="R246" s="78"/>
      <c r="S246" s="78"/>
      <c r="T246" s="78"/>
      <c r="U246" s="78"/>
      <c r="V246" s="78"/>
      <c r="W246" s="78"/>
      <c r="X246" s="78"/>
      <c r="Y246" s="78"/>
      <c r="Z246" s="81"/>
    </row>
    <row r="247" spans="1:35" ht="21" x14ac:dyDescent="0.4">
      <c r="A247" s="77"/>
      <c r="B247" s="78"/>
      <c r="C247" s="78"/>
      <c r="D247" s="78"/>
      <c r="E247" s="78"/>
      <c r="F247" s="78"/>
      <c r="G247" s="78"/>
      <c r="H247" s="78"/>
      <c r="I247" s="78"/>
      <c r="J247" s="78"/>
      <c r="K247" s="78"/>
      <c r="L247" s="78"/>
      <c r="M247" s="78"/>
      <c r="N247" s="78"/>
      <c r="O247" s="78"/>
      <c r="P247" s="78"/>
      <c r="Q247" s="78"/>
      <c r="R247" s="78"/>
      <c r="S247" s="78"/>
      <c r="T247" s="78"/>
      <c r="U247" s="78"/>
      <c r="V247" s="78"/>
      <c r="W247" s="78"/>
      <c r="X247" s="78"/>
      <c r="Y247" s="78"/>
      <c r="Z247" s="81"/>
    </row>
    <row r="248" spans="1:35" ht="21.6" thickBot="1" x14ac:dyDescent="0.45">
      <c r="A248" s="99"/>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5"/>
    </row>
    <row r="249" spans="1:35" ht="33" x14ac:dyDescent="0.65">
      <c r="A249" s="86" t="s">
        <v>79</v>
      </c>
      <c r="B249" s="87"/>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8"/>
      <c r="AC249" s="45" t="e">
        <f>IF(L12&lt;Lijsten!X5,Lijsten!Y6,IF(L12&lt;Lijsten!X4,Lijsten!Y5,IF(L12&lt;Lijsten!X3,Lijsten!Y4,IF(L12&lt;Lijsten!X2,Lijsten!Y3,IF(L12=Lijsten!X2,Lijsten!Y2,"")))))</f>
        <v>#N/A</v>
      </c>
    </row>
    <row r="250" spans="1:35" ht="21" x14ac:dyDescent="0.4">
      <c r="A250" s="77"/>
      <c r="B250" s="78"/>
      <c r="C250" s="78"/>
      <c r="D250" s="78"/>
      <c r="E250" s="78"/>
      <c r="F250" s="78"/>
      <c r="G250" s="78"/>
      <c r="H250" s="78"/>
      <c r="I250" s="78"/>
      <c r="J250" s="78"/>
      <c r="K250" s="78"/>
      <c r="L250" s="78"/>
      <c r="M250" s="78"/>
      <c r="N250" s="78"/>
      <c r="O250" s="78"/>
      <c r="P250" s="78"/>
      <c r="Q250" s="78"/>
      <c r="R250" s="78"/>
      <c r="S250" s="78"/>
      <c r="T250" s="78"/>
      <c r="U250" s="78"/>
      <c r="V250" s="78"/>
      <c r="W250" s="78"/>
      <c r="X250" s="78"/>
      <c r="Y250" s="78"/>
      <c r="Z250" s="81"/>
    </row>
    <row r="251" spans="1:35" ht="21" x14ac:dyDescent="0.4">
      <c r="A251" s="77"/>
      <c r="B251" s="78"/>
      <c r="C251" s="78"/>
      <c r="D251" s="78"/>
      <c r="E251" s="78"/>
      <c r="F251" s="78"/>
      <c r="G251" s="78"/>
      <c r="H251" s="78"/>
      <c r="I251" s="78"/>
      <c r="J251" s="78"/>
      <c r="K251" s="78"/>
      <c r="L251" s="78"/>
      <c r="M251" s="78"/>
      <c r="N251" s="78"/>
      <c r="O251" s="78"/>
      <c r="P251" s="78"/>
      <c r="Q251" s="78"/>
      <c r="R251" s="78"/>
      <c r="S251" s="78"/>
      <c r="T251" s="78"/>
      <c r="U251" s="78"/>
      <c r="V251" s="78"/>
      <c r="W251" s="78"/>
      <c r="X251" s="78"/>
      <c r="Y251" s="78"/>
      <c r="Z251" s="81"/>
      <c r="AC251" s="45" t="s">
        <v>380</v>
      </c>
      <c r="AD251" s="79" t="s">
        <v>20</v>
      </c>
      <c r="AE251" s="79" t="s">
        <v>87</v>
      </c>
      <c r="AF251" s="79" t="s">
        <v>88</v>
      </c>
      <c r="AG251" s="79" t="s">
        <v>366</v>
      </c>
      <c r="AH251" s="79" t="s">
        <v>89</v>
      </c>
      <c r="AI251" s="79" t="s">
        <v>90</v>
      </c>
    </row>
    <row r="252" spans="1:35" ht="21" x14ac:dyDescent="0.4">
      <c r="A252" s="77"/>
      <c r="B252" s="78"/>
      <c r="C252" s="78"/>
      <c r="D252" s="78"/>
      <c r="E252" s="78"/>
      <c r="F252" s="78"/>
      <c r="G252" s="78"/>
      <c r="H252" s="78"/>
      <c r="I252" s="78"/>
      <c r="J252" s="78"/>
      <c r="K252" s="78"/>
      <c r="L252" s="78"/>
      <c r="M252" s="78"/>
      <c r="N252" s="78"/>
      <c r="O252" s="78"/>
      <c r="P252" s="78"/>
      <c r="Q252" s="78"/>
      <c r="R252" s="78"/>
      <c r="S252" s="78"/>
      <c r="T252" s="78"/>
      <c r="U252" s="78"/>
      <c r="V252" s="78"/>
      <c r="W252" s="78"/>
      <c r="X252" s="78"/>
      <c r="Y252" s="78"/>
      <c r="Z252" s="81"/>
      <c r="AC252" s="45" t="s">
        <v>378</v>
      </c>
      <c r="AD252" s="79" t="e">
        <f>Graslandonderhoud!C2</f>
        <v>#N/A</v>
      </c>
      <c r="AE252" s="79">
        <f>Scoring!N197</f>
        <v>1</v>
      </c>
      <c r="AF252" s="79" t="e">
        <f>IF(SUM(AD252:AD253)=SUM(AE252:AE253),1,0)</f>
        <v>#N/A</v>
      </c>
      <c r="AG252" s="79" t="e">
        <f>IF(AND(SUM(AD252:AD253)&gt;(SUM(AE252:AE253)*0.7),SUM(AD252:AD253)&lt;SUM(AE252:AE253)),1,0)</f>
        <v>#N/A</v>
      </c>
      <c r="AH252" s="79" t="e">
        <f>IF(AND(SUM(AD252:AD253)&gt;(SUM(AE252:AE253)/2.1),SUM(AD252:AD253)&lt;SUM(AE252:AE253)*0.7),1,0)</f>
        <v>#N/A</v>
      </c>
      <c r="AI252" s="45" t="e">
        <f>IF(OR(SUM(AD252:AD253)&lt;(SUM(AE252:AE253)/2.1),SUM(AD252:AD253)=(SUM(AE252:AE253)/2.1)),1,0)</f>
        <v>#N/A</v>
      </c>
    </row>
    <row r="253" spans="1:35" ht="21" x14ac:dyDescent="0.4">
      <c r="A253" s="77"/>
      <c r="B253" s="78"/>
      <c r="C253" s="78"/>
      <c r="D253" s="78"/>
      <c r="E253" s="78"/>
      <c r="F253" s="78"/>
      <c r="G253" s="78"/>
      <c r="H253" s="78"/>
      <c r="I253" s="78"/>
      <c r="J253" s="78"/>
      <c r="K253" s="78"/>
      <c r="L253" s="78"/>
      <c r="M253" s="78"/>
      <c r="N253" s="78"/>
      <c r="O253" s="78"/>
      <c r="P253" s="78"/>
      <c r="Q253" s="78"/>
      <c r="R253" s="78"/>
      <c r="S253" s="78"/>
      <c r="T253" s="78"/>
      <c r="U253" s="78"/>
      <c r="V253" s="78"/>
      <c r="W253" s="78"/>
      <c r="X253" s="78"/>
      <c r="Y253" s="78"/>
      <c r="Z253" s="81"/>
      <c r="AC253" s="45" t="s">
        <v>379</v>
      </c>
      <c r="AD253" s="45">
        <f>Graslandonderhoud!C7</f>
        <v>0</v>
      </c>
      <c r="AE253" s="45">
        <f>Scoring!N207</f>
        <v>1</v>
      </c>
    </row>
    <row r="254" spans="1:35" ht="21" x14ac:dyDescent="0.4">
      <c r="A254" s="77"/>
      <c r="B254" s="78"/>
      <c r="C254" s="78"/>
      <c r="D254" s="78"/>
      <c r="E254" s="78"/>
      <c r="F254" s="78"/>
      <c r="G254" s="78"/>
      <c r="H254" s="78"/>
      <c r="I254" s="78"/>
      <c r="J254" s="78"/>
      <c r="K254" s="78"/>
      <c r="L254" s="78"/>
      <c r="M254" s="78"/>
      <c r="N254" s="78"/>
      <c r="O254" s="78"/>
      <c r="P254" s="78"/>
      <c r="Q254" s="78"/>
      <c r="R254" s="78"/>
      <c r="S254" s="78"/>
      <c r="T254" s="78"/>
      <c r="U254" s="78"/>
      <c r="V254" s="78"/>
      <c r="W254" s="78"/>
      <c r="X254" s="78"/>
      <c r="Y254" s="78"/>
      <c r="Z254" s="81"/>
    </row>
    <row r="255" spans="1:35" ht="21" x14ac:dyDescent="0.4">
      <c r="A255" s="77"/>
      <c r="B255" s="78"/>
      <c r="C255" s="78"/>
      <c r="D255" s="78"/>
      <c r="E255" s="78"/>
      <c r="F255" s="78"/>
      <c r="G255" s="78"/>
      <c r="H255" s="78"/>
      <c r="I255" s="78"/>
      <c r="J255" s="78"/>
      <c r="K255" s="78"/>
      <c r="L255" s="78"/>
      <c r="M255" s="78"/>
      <c r="N255" s="78"/>
      <c r="O255" s="78"/>
      <c r="P255" s="78"/>
      <c r="Q255" s="78"/>
      <c r="R255" s="78"/>
      <c r="S255" s="78"/>
      <c r="T255" s="78"/>
      <c r="U255" s="78"/>
      <c r="V255" s="78"/>
      <c r="W255" s="78"/>
      <c r="X255" s="78"/>
      <c r="Y255" s="78"/>
      <c r="Z255" s="81"/>
      <c r="AC255" s="45" t="s">
        <v>338</v>
      </c>
      <c r="AD255" s="79" t="s">
        <v>20</v>
      </c>
      <c r="AE255" s="79" t="s">
        <v>87</v>
      </c>
      <c r="AF255" s="79" t="s">
        <v>88</v>
      </c>
      <c r="AG255" s="79" t="s">
        <v>366</v>
      </c>
      <c r="AH255" s="79" t="s">
        <v>89</v>
      </c>
      <c r="AI255" s="79" t="s">
        <v>90</v>
      </c>
    </row>
    <row r="256" spans="1:35" ht="21" x14ac:dyDescent="0.4">
      <c r="A256" s="77"/>
      <c r="B256" s="78"/>
      <c r="C256" s="78"/>
      <c r="D256" s="78"/>
      <c r="E256" s="78"/>
      <c r="F256" s="78"/>
      <c r="G256" s="78"/>
      <c r="H256" s="78"/>
      <c r="I256" s="78"/>
      <c r="J256" s="78"/>
      <c r="K256" s="78"/>
      <c r="L256" s="78"/>
      <c r="M256" s="78"/>
      <c r="N256" s="78"/>
      <c r="O256" s="78"/>
      <c r="P256" s="78"/>
      <c r="Q256" s="78"/>
      <c r="R256" s="78"/>
      <c r="S256" s="78"/>
      <c r="T256" s="78"/>
      <c r="U256" s="78"/>
      <c r="V256" s="78"/>
      <c r="W256" s="78"/>
      <c r="X256" s="78"/>
      <c r="Y256" s="78"/>
      <c r="Z256" s="81"/>
      <c r="AC256" s="45" t="s">
        <v>381</v>
      </c>
      <c r="AD256" s="79" t="e">
        <f>Graslandonderhoud!C3</f>
        <v>#N/A</v>
      </c>
      <c r="AE256" s="79">
        <f>Scoring!N199</f>
        <v>1</v>
      </c>
      <c r="AF256" s="79" t="e">
        <f>IF(SUM(AD256:AD259)=SUM(AE256:AE259),1,0)</f>
        <v>#N/A</v>
      </c>
      <c r="AG256" s="79" t="e">
        <f>IF(AND(SUM(AD256:AD259)&gt;(SUM(AE256:AE259)*0.7),SUM(AD256:AD259)&lt;SUM(AE256:AE259)),1,0)</f>
        <v>#N/A</v>
      </c>
      <c r="AH256" s="79" t="e">
        <f>IF(AND(SUM(AD256:AD259)&gt;(SUM(AE256:AE259)/2.1),SUM(AD256:AD259)&lt;SUM(AE256:AE259)*0.7),1,0)</f>
        <v>#N/A</v>
      </c>
      <c r="AI256" s="45" t="e">
        <f>IF(OR(SUM(AD256:AD259)&lt;(SUM(AE256:AE259)/2.1),SUM(AD256:AD259)=(SUM(AE256:AE259)/2.1)),1,0)</f>
        <v>#N/A</v>
      </c>
    </row>
    <row r="257" spans="1:33" ht="21" x14ac:dyDescent="0.4">
      <c r="A257" s="77"/>
      <c r="B257" s="78"/>
      <c r="C257" s="78"/>
      <c r="D257" s="78"/>
      <c r="E257" s="78"/>
      <c r="F257" s="78"/>
      <c r="G257" s="78"/>
      <c r="H257" s="78"/>
      <c r="I257" s="78"/>
      <c r="J257" s="78"/>
      <c r="K257" s="78"/>
      <c r="L257" s="78"/>
      <c r="M257" s="78"/>
      <c r="N257" s="78"/>
      <c r="O257" s="78"/>
      <c r="P257" s="78"/>
      <c r="Q257" s="78"/>
      <c r="R257" s="78"/>
      <c r="S257" s="78"/>
      <c r="T257" s="78"/>
      <c r="U257" s="78"/>
      <c r="V257" s="78"/>
      <c r="W257" s="78"/>
      <c r="X257" s="78"/>
      <c r="Y257" s="78"/>
      <c r="Z257" s="81"/>
      <c r="AC257" s="45" t="s">
        <v>382</v>
      </c>
      <c r="AD257" s="45" t="e">
        <f>Graslandonderhoud!C4</f>
        <v>#N/A</v>
      </c>
      <c r="AE257" s="45">
        <f>Scoring!N201</f>
        <v>0.5</v>
      </c>
    </row>
    <row r="258" spans="1:33" ht="21" x14ac:dyDescent="0.4">
      <c r="A258" s="77"/>
      <c r="B258" s="78"/>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81"/>
      <c r="AC258" s="45" t="s">
        <v>384</v>
      </c>
      <c r="AD258" s="45" t="e">
        <f>Graslandonderhoud!C5</f>
        <v>#N/A</v>
      </c>
      <c r="AE258" s="45">
        <f>Scoring!N203</f>
        <v>1</v>
      </c>
      <c r="AG258" s="45" t="e">
        <f>IF(AND(AG256=1,AD259=AE259),1,0)</f>
        <v>#N/A</v>
      </c>
    </row>
    <row r="259" spans="1:33" ht="21" x14ac:dyDescent="0.4">
      <c r="A259" s="77"/>
      <c r="B259" s="78"/>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81"/>
      <c r="AC259" s="45" t="s">
        <v>383</v>
      </c>
      <c r="AD259" s="45" t="e">
        <f>Graslandonderhoud!C6</f>
        <v>#N/A</v>
      </c>
      <c r="AE259" s="45">
        <f>Scoring!N205</f>
        <v>1</v>
      </c>
      <c r="AF259" s="45" t="e">
        <f>IF(AD259=AE259,1,0)</f>
        <v>#N/A</v>
      </c>
      <c r="AG259" s="45" t="e">
        <f>IF(AF259=1,0,1)</f>
        <v>#N/A</v>
      </c>
    </row>
    <row r="260" spans="1:33" ht="21" x14ac:dyDescent="0.4">
      <c r="A260" s="77"/>
      <c r="B260" s="78"/>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81"/>
    </row>
    <row r="261" spans="1:33" ht="21" x14ac:dyDescent="0.4">
      <c r="A261" s="77"/>
      <c r="B261" s="78"/>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81"/>
      <c r="AC261" s="45" t="s">
        <v>385</v>
      </c>
      <c r="AD261" s="79" t="s">
        <v>20</v>
      </c>
      <c r="AE261" s="79" t="s">
        <v>87</v>
      </c>
      <c r="AF261" s="79" t="s">
        <v>88</v>
      </c>
      <c r="AG261" s="79" t="s">
        <v>90</v>
      </c>
    </row>
    <row r="262" spans="1:33" ht="21" x14ac:dyDescent="0.4">
      <c r="A262" s="77"/>
      <c r="B262" s="78"/>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81"/>
      <c r="AD262" s="79" t="e">
        <f>Graslandonderhoud!C9</f>
        <v>#N/A</v>
      </c>
      <c r="AE262" s="79">
        <f>Scoring!N211</f>
        <v>1</v>
      </c>
      <c r="AF262" s="79" t="e">
        <f>IF(AD262=AE262,1,0)</f>
        <v>#N/A</v>
      </c>
      <c r="AG262" s="79" t="e">
        <f>IF(AD262&lt;AE262,1,0)</f>
        <v>#N/A</v>
      </c>
    </row>
    <row r="263" spans="1:33" ht="21" x14ac:dyDescent="0.4">
      <c r="A263" s="77"/>
      <c r="B263" s="78"/>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81"/>
    </row>
    <row r="264" spans="1:33" ht="21" x14ac:dyDescent="0.4">
      <c r="A264" s="77"/>
      <c r="B264" s="78"/>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81"/>
      <c r="AC264" s="45" t="s">
        <v>387</v>
      </c>
      <c r="AD264" s="79" t="s">
        <v>20</v>
      </c>
      <c r="AE264" s="79" t="s">
        <v>87</v>
      </c>
      <c r="AF264" s="79" t="s">
        <v>88</v>
      </c>
      <c r="AG264" s="79" t="s">
        <v>90</v>
      </c>
    </row>
    <row r="265" spans="1:33" ht="21" x14ac:dyDescent="0.4">
      <c r="A265" s="77"/>
      <c r="B265" s="78"/>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81"/>
      <c r="AD265" s="79" t="e">
        <f>Graslandonderhoud!C8</f>
        <v>#N/A</v>
      </c>
      <c r="AE265" s="79">
        <f>Scoring!N209</f>
        <v>1</v>
      </c>
      <c r="AF265" s="79" t="e">
        <f>IF(AD265=AE265,1,0)</f>
        <v>#N/A</v>
      </c>
      <c r="AG265" s="79" t="e">
        <f>IF(AD265&lt;AE265,1,0)</f>
        <v>#N/A</v>
      </c>
    </row>
    <row r="266" spans="1:33" ht="21" x14ac:dyDescent="0.4">
      <c r="A266" s="77"/>
      <c r="B266" s="78"/>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81"/>
    </row>
    <row r="267" spans="1:33" ht="21" x14ac:dyDescent="0.4">
      <c r="A267" s="77"/>
      <c r="B267" s="78"/>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81"/>
    </row>
    <row r="268" spans="1:33" ht="21" x14ac:dyDescent="0.4">
      <c r="A268" s="77"/>
      <c r="B268" s="78"/>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81"/>
    </row>
    <row r="269" spans="1:33" ht="21" x14ac:dyDescent="0.4">
      <c r="A269" s="77"/>
      <c r="B269" s="78"/>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81"/>
    </row>
    <row r="270" spans="1:33" ht="21" x14ac:dyDescent="0.4">
      <c r="A270" s="77"/>
      <c r="B270" s="78"/>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81"/>
    </row>
    <row r="271" spans="1:33" ht="21" x14ac:dyDescent="0.4">
      <c r="A271" s="77"/>
      <c r="B271" s="78"/>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81"/>
    </row>
    <row r="272" spans="1:33" ht="21" x14ac:dyDescent="0.4">
      <c r="A272" s="77"/>
      <c r="B272" s="78"/>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81"/>
    </row>
    <row r="273" spans="1:26" ht="21" x14ac:dyDescent="0.4">
      <c r="A273" s="77"/>
      <c r="B273" s="78"/>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81"/>
    </row>
    <row r="274" spans="1:26" ht="21" x14ac:dyDescent="0.4">
      <c r="A274" s="77"/>
      <c r="B274" s="78"/>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81"/>
    </row>
    <row r="275" spans="1:26" ht="21" x14ac:dyDescent="0.4">
      <c r="A275" s="77"/>
      <c r="B275" s="78"/>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81"/>
    </row>
    <row r="276" spans="1:26" ht="21" x14ac:dyDescent="0.4">
      <c r="A276" s="77"/>
      <c r="B276" s="78"/>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81"/>
    </row>
    <row r="277" spans="1:26" ht="21" x14ac:dyDescent="0.4">
      <c r="A277" s="77"/>
      <c r="B277" s="89" t="s">
        <v>85</v>
      </c>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81"/>
    </row>
    <row r="278" spans="1:26" ht="21" x14ac:dyDescent="0.4">
      <c r="A278" s="77"/>
      <c r="B278" s="78"/>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81"/>
    </row>
    <row r="279" spans="1:26" ht="21" x14ac:dyDescent="0.4">
      <c r="A279" s="77"/>
      <c r="B279" s="108" t="e">
        <f>_xlfn.CONCAT(AC249,Scoring!Q215)</f>
        <v>#N/A</v>
      </c>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9"/>
    </row>
    <row r="280" spans="1:26" ht="21" x14ac:dyDescent="0.4">
      <c r="A280" s="77"/>
      <c r="B280" s="108"/>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9"/>
    </row>
    <row r="281" spans="1:26" ht="21" x14ac:dyDescent="0.4">
      <c r="A281" s="77"/>
      <c r="B281" s="108"/>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9"/>
    </row>
    <row r="282" spans="1:26" ht="21" x14ac:dyDescent="0.4">
      <c r="A282" s="77"/>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9"/>
    </row>
    <row r="283" spans="1:26" ht="21" x14ac:dyDescent="0.4">
      <c r="A283" s="77"/>
      <c r="B283" s="108"/>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9"/>
    </row>
    <row r="284" spans="1:26" ht="21" x14ac:dyDescent="0.4">
      <c r="A284" s="77"/>
      <c r="B284" s="108"/>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9"/>
    </row>
    <row r="285" spans="1:26" ht="21" x14ac:dyDescent="0.4">
      <c r="A285" s="77"/>
      <c r="B285" s="108"/>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9"/>
    </row>
    <row r="286" spans="1:26" ht="21" x14ac:dyDescent="0.4">
      <c r="A286" s="77"/>
      <c r="B286" s="108"/>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9"/>
    </row>
    <row r="287" spans="1:26" ht="21" x14ac:dyDescent="0.4">
      <c r="A287" s="77"/>
      <c r="B287" s="108"/>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9"/>
    </row>
    <row r="288" spans="1:26" ht="21" x14ac:dyDescent="0.4">
      <c r="A288" s="77"/>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9"/>
    </row>
    <row r="289" spans="1:34" ht="21.6" thickBot="1" x14ac:dyDescent="0.45">
      <c r="A289" s="99"/>
      <c r="B289" s="84"/>
      <c r="C289" s="84"/>
      <c r="D289" s="84"/>
      <c r="E289" s="84"/>
      <c r="F289" s="84"/>
      <c r="G289" s="84"/>
      <c r="H289" s="84"/>
      <c r="I289" s="84"/>
      <c r="J289" s="84"/>
      <c r="K289" s="84"/>
      <c r="L289" s="84"/>
      <c r="M289" s="84"/>
      <c r="N289" s="84"/>
      <c r="O289" s="84"/>
      <c r="P289" s="84"/>
      <c r="Q289" s="84"/>
      <c r="R289" s="84"/>
      <c r="S289" s="84"/>
      <c r="T289" s="84"/>
      <c r="U289" s="84"/>
      <c r="V289" s="84"/>
      <c r="W289" s="84"/>
      <c r="X289" s="84"/>
      <c r="Y289" s="84"/>
      <c r="Z289" s="85"/>
    </row>
    <row r="290" spans="1:34" ht="33" x14ac:dyDescent="0.65">
      <c r="A290" s="86" t="s">
        <v>81</v>
      </c>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8"/>
      <c r="AC290" s="45" t="e">
        <f>IF(P12&lt;Lijsten!X5,Lijsten!Y6,IF(P12&lt;Lijsten!X4,Lijsten!Y5,IF(P12&lt;Lijsten!X3,Lijsten!Y4,IF(P12&lt;Lijsten!X2,Lijsten!Y3,IF(P12=Lijsten!X2,Lijsten!Y2,"")))))</f>
        <v>#N/A</v>
      </c>
    </row>
    <row r="291" spans="1:34" ht="21" x14ac:dyDescent="0.4">
      <c r="A291" s="77"/>
      <c r="B291" s="78"/>
      <c r="C291" s="78"/>
      <c r="D291" s="78"/>
      <c r="E291" s="78"/>
      <c r="F291" s="78"/>
      <c r="G291" s="78"/>
      <c r="H291" s="78"/>
      <c r="I291" s="89" t="s">
        <v>85</v>
      </c>
      <c r="J291" s="78"/>
      <c r="K291" s="78"/>
      <c r="L291" s="78"/>
      <c r="M291" s="78"/>
      <c r="N291" s="78"/>
      <c r="O291" s="78"/>
      <c r="P291" s="78"/>
      <c r="Q291" s="78"/>
      <c r="R291" s="78"/>
      <c r="S291" s="78"/>
      <c r="T291" s="78"/>
      <c r="U291" s="78"/>
      <c r="V291" s="78"/>
      <c r="W291" s="78"/>
      <c r="X291" s="78"/>
      <c r="Y291" s="78"/>
      <c r="Z291" s="81"/>
    </row>
    <row r="292" spans="1:34" ht="21" x14ac:dyDescent="0.4">
      <c r="A292" s="77"/>
      <c r="B292" s="78"/>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81"/>
      <c r="AC292" s="45" t="s">
        <v>390</v>
      </c>
      <c r="AD292" s="79" t="s">
        <v>20</v>
      </c>
      <c r="AE292" s="79" t="s">
        <v>87</v>
      </c>
      <c r="AF292" s="79" t="s">
        <v>88</v>
      </c>
      <c r="AG292" s="79" t="s">
        <v>90</v>
      </c>
    </row>
    <row r="293" spans="1:34" ht="21" customHeight="1" x14ac:dyDescent="0.4">
      <c r="A293" s="77"/>
      <c r="B293" s="78"/>
      <c r="C293" s="78"/>
      <c r="D293" s="78"/>
      <c r="E293" s="78"/>
      <c r="F293" s="78"/>
      <c r="G293" s="78"/>
      <c r="H293" s="78"/>
      <c r="I293" s="108" t="e">
        <f>_xlfn.CONCAT(AC290,Scoring!Q234)</f>
        <v>#N/A</v>
      </c>
      <c r="J293" s="108"/>
      <c r="K293" s="108"/>
      <c r="L293" s="108"/>
      <c r="M293" s="108"/>
      <c r="N293" s="108"/>
      <c r="O293" s="108"/>
      <c r="P293" s="108"/>
      <c r="Q293" s="108"/>
      <c r="R293" s="108"/>
      <c r="S293" s="108"/>
      <c r="T293" s="108"/>
      <c r="U293" s="108"/>
      <c r="V293" s="108"/>
      <c r="W293" s="108"/>
      <c r="X293" s="108"/>
      <c r="Y293" s="108"/>
      <c r="Z293" s="109"/>
      <c r="AD293" s="79">
        <f>Waterhuishouding!C3</f>
        <v>0</v>
      </c>
      <c r="AE293" s="79">
        <f>Scoring!N220</f>
        <v>1</v>
      </c>
      <c r="AF293" s="79">
        <f>IF(AD293=AE293,1,0)</f>
        <v>0</v>
      </c>
      <c r="AG293" s="79">
        <f>IF(AD293&lt;AE293,1,0)</f>
        <v>1</v>
      </c>
    </row>
    <row r="294" spans="1:34" ht="21" x14ac:dyDescent="0.4">
      <c r="A294" s="77"/>
      <c r="B294" s="78"/>
      <c r="C294" s="78"/>
      <c r="D294" s="78"/>
      <c r="E294" s="78"/>
      <c r="F294" s="78"/>
      <c r="G294" s="78"/>
      <c r="H294" s="78"/>
      <c r="I294" s="108"/>
      <c r="J294" s="108"/>
      <c r="K294" s="108"/>
      <c r="L294" s="108"/>
      <c r="M294" s="108"/>
      <c r="N294" s="108"/>
      <c r="O294" s="108"/>
      <c r="P294" s="108"/>
      <c r="Q294" s="108"/>
      <c r="R294" s="108"/>
      <c r="S294" s="108"/>
      <c r="T294" s="108"/>
      <c r="U294" s="108"/>
      <c r="V294" s="108"/>
      <c r="W294" s="108"/>
      <c r="X294" s="108"/>
      <c r="Y294" s="108"/>
      <c r="Z294" s="109"/>
      <c r="AC294" s="45" t="s">
        <v>391</v>
      </c>
      <c r="AD294" s="79" t="s">
        <v>20</v>
      </c>
      <c r="AE294" s="79" t="s">
        <v>87</v>
      </c>
      <c r="AF294" s="79" t="s">
        <v>88</v>
      </c>
      <c r="AG294" s="79" t="s">
        <v>89</v>
      </c>
      <c r="AH294" s="79" t="s">
        <v>90</v>
      </c>
    </row>
    <row r="295" spans="1:34" ht="21" x14ac:dyDescent="0.4">
      <c r="A295" s="77"/>
      <c r="B295" s="78"/>
      <c r="C295" s="78"/>
      <c r="D295" s="78"/>
      <c r="E295" s="78"/>
      <c r="F295" s="78"/>
      <c r="G295" s="78"/>
      <c r="H295" s="78"/>
      <c r="I295" s="108"/>
      <c r="J295" s="108"/>
      <c r="K295" s="108"/>
      <c r="L295" s="108"/>
      <c r="M295" s="108"/>
      <c r="N295" s="108"/>
      <c r="O295" s="108"/>
      <c r="P295" s="108"/>
      <c r="Q295" s="108"/>
      <c r="R295" s="108"/>
      <c r="S295" s="108"/>
      <c r="T295" s="108"/>
      <c r="U295" s="108"/>
      <c r="V295" s="108"/>
      <c r="W295" s="108"/>
      <c r="X295" s="108"/>
      <c r="Y295" s="108"/>
      <c r="Z295" s="109"/>
      <c r="AC295" s="45" t="s">
        <v>393</v>
      </c>
      <c r="AD295" s="79" t="e">
        <f>Waterhuishouding!C7</f>
        <v>#N/A</v>
      </c>
      <c r="AE295" s="79">
        <f>Scoring!N228</f>
        <v>1</v>
      </c>
      <c r="AF295" s="79" t="e">
        <f>IF(SUM(AD295:AD296)=SUM(AE295:AE296),1,0)</f>
        <v>#N/A</v>
      </c>
      <c r="AG295" s="79" t="e">
        <f>IF(AND(SUM(AD295:AD296)&lt;SUM(AE295:AE296),SUM(AD295:AD296)&gt;0),1,0)</f>
        <v>#N/A</v>
      </c>
      <c r="AH295" s="45" t="e">
        <f>IF(SUM(AD295:AD296)=0,1,0)</f>
        <v>#N/A</v>
      </c>
    </row>
    <row r="296" spans="1:34" ht="21" x14ac:dyDescent="0.4">
      <c r="A296" s="77"/>
      <c r="B296" s="78"/>
      <c r="C296" s="78"/>
      <c r="D296" s="78"/>
      <c r="E296" s="78"/>
      <c r="F296" s="78"/>
      <c r="G296" s="78"/>
      <c r="H296" s="78"/>
      <c r="I296" s="108"/>
      <c r="J296" s="108"/>
      <c r="K296" s="108"/>
      <c r="L296" s="108"/>
      <c r="M296" s="108"/>
      <c r="N296" s="108"/>
      <c r="O296" s="108"/>
      <c r="P296" s="108"/>
      <c r="Q296" s="108"/>
      <c r="R296" s="108"/>
      <c r="S296" s="108"/>
      <c r="T296" s="108"/>
      <c r="U296" s="108"/>
      <c r="V296" s="108"/>
      <c r="W296" s="108"/>
      <c r="X296" s="108"/>
      <c r="Y296" s="108"/>
      <c r="Z296" s="109"/>
      <c r="AC296" s="45" t="s">
        <v>394</v>
      </c>
      <c r="AD296" s="79" t="e">
        <f>Waterhuishouding!C8</f>
        <v>#N/A</v>
      </c>
      <c r="AE296" s="79">
        <f>Scoring!N230</f>
        <v>1</v>
      </c>
      <c r="AF296" s="79"/>
      <c r="AG296" s="79"/>
    </row>
    <row r="297" spans="1:34" ht="21" x14ac:dyDescent="0.4">
      <c r="A297" s="77"/>
      <c r="B297" s="78"/>
      <c r="C297" s="78"/>
      <c r="D297" s="78"/>
      <c r="E297" s="78"/>
      <c r="F297" s="78"/>
      <c r="G297" s="78"/>
      <c r="H297" s="78"/>
      <c r="I297" s="108"/>
      <c r="J297" s="108"/>
      <c r="K297" s="108"/>
      <c r="L297" s="108"/>
      <c r="M297" s="108"/>
      <c r="N297" s="108"/>
      <c r="O297" s="108"/>
      <c r="P297" s="108"/>
      <c r="Q297" s="108"/>
      <c r="R297" s="108"/>
      <c r="S297" s="108"/>
      <c r="T297" s="108"/>
      <c r="U297" s="108"/>
      <c r="V297" s="108"/>
      <c r="W297" s="108"/>
      <c r="X297" s="108"/>
      <c r="Y297" s="108"/>
      <c r="Z297" s="109"/>
      <c r="AD297" s="79"/>
      <c r="AE297" s="79"/>
      <c r="AF297" s="79"/>
      <c r="AG297" s="79"/>
    </row>
    <row r="298" spans="1:34" ht="21" x14ac:dyDescent="0.4">
      <c r="A298" s="77"/>
      <c r="B298" s="78"/>
      <c r="C298" s="78"/>
      <c r="D298" s="78"/>
      <c r="E298" s="78"/>
      <c r="F298" s="78"/>
      <c r="G298" s="78"/>
      <c r="H298" s="78"/>
      <c r="I298" s="108"/>
      <c r="J298" s="108"/>
      <c r="K298" s="108"/>
      <c r="L298" s="108"/>
      <c r="M298" s="108"/>
      <c r="N298" s="108"/>
      <c r="O298" s="108"/>
      <c r="P298" s="108"/>
      <c r="Q298" s="108"/>
      <c r="R298" s="108"/>
      <c r="S298" s="108"/>
      <c r="T298" s="108"/>
      <c r="U298" s="108"/>
      <c r="V298" s="108"/>
      <c r="W298" s="108"/>
      <c r="X298" s="108"/>
      <c r="Y298" s="108"/>
      <c r="Z298" s="109"/>
      <c r="AC298" s="45" t="s">
        <v>392</v>
      </c>
      <c r="AD298" s="79" t="s">
        <v>20</v>
      </c>
      <c r="AE298" s="79" t="s">
        <v>87</v>
      </c>
      <c r="AF298" s="79" t="s">
        <v>88</v>
      </c>
      <c r="AG298" s="79" t="s">
        <v>90</v>
      </c>
    </row>
    <row r="299" spans="1:34" ht="21" x14ac:dyDescent="0.4">
      <c r="A299" s="77"/>
      <c r="B299" s="78"/>
      <c r="C299" s="78"/>
      <c r="D299" s="78"/>
      <c r="E299" s="78"/>
      <c r="F299" s="78"/>
      <c r="G299" s="78"/>
      <c r="H299" s="78"/>
      <c r="I299" s="108"/>
      <c r="J299" s="108"/>
      <c r="K299" s="108"/>
      <c r="L299" s="108"/>
      <c r="M299" s="108"/>
      <c r="N299" s="108"/>
      <c r="O299" s="108"/>
      <c r="P299" s="108"/>
      <c r="Q299" s="108"/>
      <c r="R299" s="108"/>
      <c r="S299" s="108"/>
      <c r="T299" s="108"/>
      <c r="U299" s="108"/>
      <c r="V299" s="108"/>
      <c r="W299" s="108"/>
      <c r="X299" s="108"/>
      <c r="Y299" s="108"/>
      <c r="Z299" s="109"/>
      <c r="AD299" s="79" t="e">
        <f>Waterhuishouding!C9</f>
        <v>#N/A</v>
      </c>
      <c r="AE299" s="79">
        <f>Scoring!N232</f>
        <v>1</v>
      </c>
      <c r="AF299" s="79" t="e">
        <f>IF(AD299=AE299,1,0)</f>
        <v>#N/A</v>
      </c>
      <c r="AG299" s="79" t="e">
        <f>IF(AD299&lt;AE299,1,0)</f>
        <v>#N/A</v>
      </c>
    </row>
    <row r="300" spans="1:34" ht="21" x14ac:dyDescent="0.4">
      <c r="A300" s="77"/>
      <c r="B300" s="78"/>
      <c r="C300" s="78"/>
      <c r="D300" s="78"/>
      <c r="E300" s="78"/>
      <c r="F300" s="78"/>
      <c r="G300" s="78"/>
      <c r="H300" s="78"/>
      <c r="I300" s="108"/>
      <c r="J300" s="108"/>
      <c r="K300" s="108"/>
      <c r="L300" s="108"/>
      <c r="M300" s="108"/>
      <c r="N300" s="108"/>
      <c r="O300" s="108"/>
      <c r="P300" s="108"/>
      <c r="Q300" s="108"/>
      <c r="R300" s="108"/>
      <c r="S300" s="108"/>
      <c r="T300" s="108"/>
      <c r="U300" s="108"/>
      <c r="V300" s="108"/>
      <c r="W300" s="108"/>
      <c r="X300" s="108"/>
      <c r="Y300" s="108"/>
      <c r="Z300" s="109"/>
    </row>
    <row r="301" spans="1:34" ht="21" x14ac:dyDescent="0.4">
      <c r="A301" s="77"/>
      <c r="B301" s="78"/>
      <c r="C301" s="78"/>
      <c r="D301" s="78"/>
      <c r="E301" s="78"/>
      <c r="F301" s="78"/>
      <c r="G301" s="78"/>
      <c r="H301" s="78"/>
      <c r="I301" s="108"/>
      <c r="J301" s="108"/>
      <c r="K301" s="108"/>
      <c r="L301" s="108"/>
      <c r="M301" s="108"/>
      <c r="N301" s="108"/>
      <c r="O301" s="108"/>
      <c r="P301" s="108"/>
      <c r="Q301" s="108"/>
      <c r="R301" s="108"/>
      <c r="S301" s="108"/>
      <c r="T301" s="108"/>
      <c r="U301" s="108"/>
      <c r="V301" s="108"/>
      <c r="W301" s="108"/>
      <c r="X301" s="108"/>
      <c r="Y301" s="108"/>
      <c r="Z301" s="109"/>
    </row>
    <row r="302" spans="1:34" ht="21" x14ac:dyDescent="0.4">
      <c r="A302" s="77"/>
      <c r="B302" s="78"/>
      <c r="C302" s="78"/>
      <c r="D302" s="78"/>
      <c r="E302" s="78"/>
      <c r="F302" s="78"/>
      <c r="G302" s="78"/>
      <c r="H302" s="78"/>
      <c r="I302" s="108"/>
      <c r="J302" s="108"/>
      <c r="K302" s="108"/>
      <c r="L302" s="108"/>
      <c r="M302" s="108"/>
      <c r="N302" s="108"/>
      <c r="O302" s="108"/>
      <c r="P302" s="108"/>
      <c r="Q302" s="108"/>
      <c r="R302" s="108"/>
      <c r="S302" s="108"/>
      <c r="T302" s="108"/>
      <c r="U302" s="108"/>
      <c r="V302" s="108"/>
      <c r="W302" s="108"/>
      <c r="X302" s="108"/>
      <c r="Y302" s="108"/>
      <c r="Z302" s="109"/>
    </row>
    <row r="303" spans="1:34" ht="21" x14ac:dyDescent="0.4">
      <c r="A303" s="77"/>
      <c r="B303" s="78"/>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81"/>
    </row>
    <row r="304" spans="1:34" ht="21" x14ac:dyDescent="0.4">
      <c r="A304" s="77"/>
      <c r="B304" s="78"/>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81"/>
    </row>
    <row r="305" spans="1:26" ht="21" x14ac:dyDescent="0.4">
      <c r="A305" s="77"/>
      <c r="B305" s="78"/>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81"/>
    </row>
    <row r="306" spans="1:26" ht="21" x14ac:dyDescent="0.4">
      <c r="A306" s="77"/>
      <c r="B306" s="78"/>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81"/>
    </row>
    <row r="307" spans="1:26" ht="21" x14ac:dyDescent="0.4">
      <c r="A307" s="77"/>
      <c r="B307" s="78"/>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81"/>
    </row>
    <row r="308" spans="1:26" ht="21" x14ac:dyDescent="0.4">
      <c r="A308" s="77"/>
      <c r="B308" s="78"/>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81"/>
    </row>
    <row r="309" spans="1:26" ht="21" x14ac:dyDescent="0.4">
      <c r="A309" s="77"/>
      <c r="B309" s="78"/>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81"/>
    </row>
    <row r="310" spans="1:26" ht="21" x14ac:dyDescent="0.4">
      <c r="A310" s="77"/>
      <c r="B310" s="78"/>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81"/>
    </row>
    <row r="311" spans="1:26" ht="21" x14ac:dyDescent="0.4">
      <c r="A311" s="77"/>
      <c r="B311" s="78"/>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81"/>
    </row>
    <row r="312" spans="1:26" ht="21" x14ac:dyDescent="0.4">
      <c r="A312" s="77"/>
      <c r="B312" s="78"/>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81"/>
    </row>
    <row r="313" spans="1:26" ht="21" x14ac:dyDescent="0.4">
      <c r="A313" s="77"/>
      <c r="B313" s="78"/>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81"/>
    </row>
    <row r="314" spans="1:26" ht="21.6" thickBot="1" x14ac:dyDescent="0.45">
      <c r="A314" s="99"/>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5"/>
    </row>
    <row r="315" spans="1:26" ht="21" x14ac:dyDescent="0.4">
      <c r="A315" s="78"/>
      <c r="B315" s="78"/>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row>
    <row r="316" spans="1:26" x14ac:dyDescent="0.3">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row>
    <row r="317" spans="1:26" x14ac:dyDescent="0.3">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row>
    <row r="318" spans="1:26" x14ac:dyDescent="0.3">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row>
    <row r="319" spans="1:26" x14ac:dyDescent="0.3">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row>
    <row r="320" spans="1:26" x14ac:dyDescent="0.3">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row>
    <row r="321" spans="1:26" x14ac:dyDescent="0.3">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row>
    <row r="322" spans="1:26" x14ac:dyDescent="0.3">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row>
    <row r="323" spans="1:26" x14ac:dyDescent="0.3">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row>
    <row r="324" spans="1:26" x14ac:dyDescent="0.3">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row>
    <row r="325" spans="1:26" x14ac:dyDescent="0.3">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row>
    <row r="326" spans="1:26" x14ac:dyDescent="0.3">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row>
    <row r="327" spans="1:26" x14ac:dyDescent="0.3">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row>
    <row r="328" spans="1:26" x14ac:dyDescent="0.3">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row>
    <row r="329" spans="1:26" x14ac:dyDescent="0.3">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row>
  </sheetData>
  <sheetProtection algorithmName="SHA-512" hashValue="i+sY82bJS5XkZBY1PE9xi7FL6FFeB1nkb0HmAfIt9A2LbKHxSdNT8qL6krYXMCWTMzEba7gziwZz9i+wmblJBQ==" saltValue="NZaGXXtPOHZXSov1p3PGUA==" spinCount="100000" sheet="1" selectLockedCells="1"/>
  <mergeCells count="10">
    <mergeCell ref="I293:Z302"/>
    <mergeCell ref="I80:Z94"/>
    <mergeCell ref="I134:Z145"/>
    <mergeCell ref="B189:Z196"/>
    <mergeCell ref="I202:Z213"/>
    <mergeCell ref="H64:Z65"/>
    <mergeCell ref="A1:Z1"/>
    <mergeCell ref="I100:Z130"/>
    <mergeCell ref="I229:Z240"/>
    <mergeCell ref="B279:Z288"/>
  </mergeCells>
  <phoneticPr fontId="2" type="noConversion"/>
  <pageMargins left="0.7" right="0.7" top="0.75" bottom="0.75" header="0.3" footer="0.3"/>
  <pageSetup paperSize="9" scale="19"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ACCF2-9DE9-4EAB-B38F-C84E7B1B88E2}">
  <dimension ref="A1:Q234"/>
  <sheetViews>
    <sheetView topLeftCell="R1" zoomScale="85" zoomScaleNormal="85" workbookViewId="0">
      <selection activeCell="Q1" sqref="A1:Q1048576"/>
    </sheetView>
  </sheetViews>
  <sheetFormatPr defaultRowHeight="14.4" x14ac:dyDescent="0.3"/>
  <cols>
    <col min="1" max="1" width="94.44140625" hidden="1" customWidth="1"/>
    <col min="2" max="2" width="22.5546875" hidden="1" customWidth="1"/>
    <col min="3" max="3" width="13" hidden="1" customWidth="1"/>
    <col min="4" max="4" width="13.6640625" hidden="1" customWidth="1"/>
    <col min="5" max="5" width="0" hidden="1" customWidth="1"/>
    <col min="6" max="6" width="9.88671875" hidden="1" customWidth="1"/>
    <col min="7" max="14" width="0" hidden="1" customWidth="1"/>
    <col min="15" max="15" width="13.33203125" hidden="1" customWidth="1"/>
    <col min="16" max="16" width="10.109375" hidden="1" customWidth="1"/>
    <col min="17" max="17" width="0" hidden="1" customWidth="1"/>
  </cols>
  <sheetData>
    <row r="1" spans="1:17" x14ac:dyDescent="0.3">
      <c r="A1" s="7" t="s">
        <v>109</v>
      </c>
      <c r="B1" s="7"/>
    </row>
    <row r="3" spans="1:17" s="11" customFormat="1" x14ac:dyDescent="0.3">
      <c r="A3" s="12" t="s">
        <v>84</v>
      </c>
      <c r="B3" s="12" t="s">
        <v>110</v>
      </c>
      <c r="C3" s="12" t="s">
        <v>111</v>
      </c>
      <c r="N3" s="12" t="s">
        <v>112</v>
      </c>
      <c r="O3" s="12" t="s">
        <v>21</v>
      </c>
      <c r="P3" s="12" t="s">
        <v>113</v>
      </c>
      <c r="Q3" s="12" t="s">
        <v>114</v>
      </c>
    </row>
    <row r="4" spans="1:17" x14ac:dyDescent="0.3">
      <c r="A4" t="s">
        <v>23</v>
      </c>
      <c r="B4" t="s">
        <v>115</v>
      </c>
      <c r="C4" t="s">
        <v>24</v>
      </c>
      <c r="D4" t="s">
        <v>61</v>
      </c>
      <c r="N4">
        <v>0.5</v>
      </c>
      <c r="O4" t="str">
        <f>Zaai!D2</f>
        <v>Ja</v>
      </c>
      <c r="P4" t="s">
        <v>116</v>
      </c>
      <c r="Q4" t="str">
        <f>IF(OR(O4="Nee",O4="",P4=""),"",P4)</f>
        <v xml:space="preserve">Een rassenlijst kan helpen bij het maken van de meest geschikte zaadkeuze voor je perceel. Door veredeling worden er nog altijd nieuwe, beter presterende rassen ontwikkeld. </v>
      </c>
    </row>
    <row r="5" spans="1:17" s="11" customFormat="1" x14ac:dyDescent="0.3">
      <c r="B5" s="11" t="s">
        <v>115</v>
      </c>
      <c r="C5" s="11">
        <f>N4</f>
        <v>0.5</v>
      </c>
      <c r="D5" s="11">
        <v>0</v>
      </c>
      <c r="Q5" s="11" t="str">
        <f t="shared" ref="Q5:Q72" si="0">IF(OR(O5="Nee",O5="",P5=""),"",P5)</f>
        <v/>
      </c>
    </row>
    <row r="6" spans="1:17" x14ac:dyDescent="0.3">
      <c r="A6" t="s">
        <v>25</v>
      </c>
      <c r="B6" t="s">
        <v>117</v>
      </c>
      <c r="O6" t="str">
        <f>IF(OR(Zaai!D4="Nee",Zaai!D5="Nee",Zaai!D6="Nee"),"Nee","Ja")</f>
        <v>Ja</v>
      </c>
      <c r="P6" t="s">
        <v>118</v>
      </c>
      <c r="Q6" t="str">
        <f t="shared" si="0"/>
        <v xml:space="preserve">Klavers kunnen de stikstofefficiëntie van je grasland sterk verhogen wanneer deze naar behoren worden beheerd. </v>
      </c>
    </row>
    <row r="7" spans="1:17" x14ac:dyDescent="0.3">
      <c r="A7" t="s">
        <v>26</v>
      </c>
      <c r="B7" t="s">
        <v>117</v>
      </c>
      <c r="C7" t="b">
        <v>1</v>
      </c>
      <c r="D7" t="b">
        <v>0</v>
      </c>
      <c r="N7">
        <v>0.5</v>
      </c>
      <c r="Q7" t="str">
        <f t="shared" si="0"/>
        <v/>
      </c>
    </row>
    <row r="8" spans="1:17" x14ac:dyDescent="0.3">
      <c r="B8" t="s">
        <v>117</v>
      </c>
      <c r="C8">
        <f>N7</f>
        <v>0.5</v>
      </c>
      <c r="D8">
        <v>0</v>
      </c>
      <c r="Q8" t="str">
        <f t="shared" si="0"/>
        <v/>
      </c>
    </row>
    <row r="9" spans="1:17" x14ac:dyDescent="0.3">
      <c r="A9" t="s">
        <v>27</v>
      </c>
      <c r="B9" t="s">
        <v>117</v>
      </c>
      <c r="C9" t="b">
        <v>1</v>
      </c>
      <c r="D9" t="b">
        <v>0</v>
      </c>
      <c r="N9">
        <v>0.5</v>
      </c>
      <c r="Q9" t="str">
        <f t="shared" si="0"/>
        <v/>
      </c>
    </row>
    <row r="10" spans="1:17" x14ac:dyDescent="0.3">
      <c r="B10" t="s">
        <v>117</v>
      </c>
      <c r="C10">
        <f>N9</f>
        <v>0.5</v>
      </c>
      <c r="D10">
        <v>0</v>
      </c>
      <c r="Q10" t="str">
        <f t="shared" si="0"/>
        <v/>
      </c>
    </row>
    <row r="11" spans="1:17" x14ac:dyDescent="0.3">
      <c r="A11" t="s">
        <v>28</v>
      </c>
      <c r="B11" t="s">
        <v>117</v>
      </c>
      <c r="C11" t="b">
        <v>1</v>
      </c>
      <c r="D11" t="b">
        <v>0</v>
      </c>
      <c r="N11">
        <v>0.25</v>
      </c>
      <c r="Q11" t="str">
        <f t="shared" si="0"/>
        <v/>
      </c>
    </row>
    <row r="12" spans="1:17" x14ac:dyDescent="0.3">
      <c r="B12" t="s">
        <v>117</v>
      </c>
      <c r="C12">
        <f>N11</f>
        <v>0.25</v>
      </c>
      <c r="D12">
        <v>0</v>
      </c>
      <c r="Q12" t="str">
        <f t="shared" si="0"/>
        <v/>
      </c>
    </row>
    <row r="13" spans="1:17" x14ac:dyDescent="0.3">
      <c r="A13" t="s">
        <v>29</v>
      </c>
      <c r="B13" t="s">
        <v>117</v>
      </c>
      <c r="C13" t="b">
        <v>1</v>
      </c>
      <c r="D13" t="b">
        <v>0</v>
      </c>
      <c r="N13">
        <v>0.5</v>
      </c>
      <c r="O13" t="str">
        <f>Zaai!D7</f>
        <v>Ja</v>
      </c>
      <c r="P13" t="s">
        <v>119</v>
      </c>
      <c r="Q13" t="str">
        <f t="shared" si="0"/>
        <v xml:space="preserve">Overweeg om ook eens kruiden op te nemen in je zaaimengsel. Net zoals klavers  zijn er heel wat kruiden die kunnen bijdragen aan het klimaatrobuuster maken van je grasland. </v>
      </c>
    </row>
    <row r="14" spans="1:17" s="11" customFormat="1" x14ac:dyDescent="0.3">
      <c r="B14" s="11" t="s">
        <v>117</v>
      </c>
      <c r="C14" s="11">
        <f>N13</f>
        <v>0.5</v>
      </c>
      <c r="D14" s="11">
        <v>0</v>
      </c>
      <c r="Q14" s="11" t="str">
        <f t="shared" si="0"/>
        <v/>
      </c>
    </row>
    <row r="15" spans="1:17" x14ac:dyDescent="0.3">
      <c r="A15" t="s">
        <v>120</v>
      </c>
      <c r="B15" t="s">
        <v>121</v>
      </c>
      <c r="C15" t="s">
        <v>122</v>
      </c>
      <c r="E15" t="s">
        <v>123</v>
      </c>
      <c r="F15" s="1">
        <v>46249</v>
      </c>
      <c r="G15" s="1">
        <v>46310</v>
      </c>
      <c r="H15" s="1">
        <v>46341</v>
      </c>
      <c r="I15" s="1">
        <v>46356</v>
      </c>
      <c r="J15" s="1">
        <v>46386</v>
      </c>
      <c r="N15">
        <v>2</v>
      </c>
      <c r="O15" t="str">
        <f>Zaai!D8</f>
        <v>Ja</v>
      </c>
      <c r="P15" t="s">
        <v>124</v>
      </c>
      <c r="Q15" t="str">
        <f t="shared" si="0"/>
        <v xml:space="preserve">Idealieter wordt grasland ingezaaid van augustus tot oktober. Het succes zal echter afhankelijk zijn van de temperatuur en neerslag in de periode na het zaaien. </v>
      </c>
    </row>
    <row r="16" spans="1:17" x14ac:dyDescent="0.3">
      <c r="B16" t="s">
        <v>121</v>
      </c>
      <c r="C16" s="1">
        <v>46204</v>
      </c>
      <c r="D16" s="1">
        <v>46387</v>
      </c>
      <c r="F16">
        <v>0</v>
      </c>
      <c r="G16">
        <f>N15</f>
        <v>2</v>
      </c>
      <c r="H16">
        <f>N15/2</f>
        <v>1</v>
      </c>
      <c r="I16">
        <f>N15/4</f>
        <v>0.5</v>
      </c>
      <c r="J16">
        <v>0</v>
      </c>
      <c r="Q16" t="str">
        <f t="shared" si="0"/>
        <v/>
      </c>
    </row>
    <row r="17" spans="1:17" x14ac:dyDescent="0.3">
      <c r="B17" t="s">
        <v>121</v>
      </c>
      <c r="C17" t="s">
        <v>125</v>
      </c>
      <c r="E17" t="s">
        <v>123</v>
      </c>
      <c r="F17" s="1">
        <v>46068</v>
      </c>
      <c r="G17" s="1">
        <v>46127</v>
      </c>
      <c r="H17" s="1">
        <v>46142</v>
      </c>
      <c r="I17" s="1">
        <v>46172</v>
      </c>
      <c r="J17" s="1">
        <v>46203</v>
      </c>
      <c r="O17" t="str">
        <f>IF(Zaai!B8&lt;C16,Zaai!D8,"Nee")</f>
        <v>Ja</v>
      </c>
      <c r="P17" t="s">
        <v>126</v>
      </c>
      <c r="Q17" t="str">
        <f t="shared" si="0"/>
        <v xml:space="preserve">Voorjaarszaai is een mogelijkheid, maar wordt omwille van de onkruiddruk en de steeds vaker voorkomende droge groeiomstandigheden in het voorjaar best als 2de keuze gezien. </v>
      </c>
    </row>
    <row r="18" spans="1:17" s="11" customFormat="1" x14ac:dyDescent="0.3">
      <c r="B18" s="11" t="s">
        <v>121</v>
      </c>
      <c r="C18" s="14">
        <v>46023</v>
      </c>
      <c r="D18" s="14">
        <v>46203</v>
      </c>
      <c r="F18" s="11">
        <v>0</v>
      </c>
      <c r="G18" s="11">
        <f>N15*3/4</f>
        <v>1.5</v>
      </c>
      <c r="H18" s="11">
        <f>N15/2</f>
        <v>1</v>
      </c>
      <c r="I18" s="11">
        <f>N15/4</f>
        <v>0.5</v>
      </c>
      <c r="J18" s="11">
        <v>0</v>
      </c>
      <c r="Q18" s="11" t="str">
        <f t="shared" si="0"/>
        <v/>
      </c>
    </row>
    <row r="19" spans="1:17" s="5" customFormat="1" x14ac:dyDescent="0.3">
      <c r="A19" s="5" t="s">
        <v>127</v>
      </c>
      <c r="B19" s="5" t="s">
        <v>121</v>
      </c>
      <c r="C19" s="5" t="s">
        <v>122</v>
      </c>
      <c r="E19" s="5" t="s">
        <v>123</v>
      </c>
      <c r="F19" s="8">
        <v>46235</v>
      </c>
      <c r="G19" s="8">
        <v>46295</v>
      </c>
      <c r="H19" s="8">
        <v>46325</v>
      </c>
      <c r="I19" s="8">
        <v>46386</v>
      </c>
      <c r="J19" s="8"/>
      <c r="N19" s="5">
        <v>1</v>
      </c>
      <c r="O19" s="5" t="str">
        <f>Zaai!D9</f>
        <v>Ja</v>
      </c>
      <c r="P19" s="5" t="s">
        <v>408</v>
      </c>
      <c r="Q19" s="5" t="str">
        <f t="shared" si="0"/>
        <v>Idealieter wordt grasklaver reeds gezaaid in augustus - september. Klaver heeft nog iets hogere temperaturen nodig om goed te kunnen kiemen en groeien in vergelijking tot gras en moet voldoende groot de winter in kunnen gaan.</v>
      </c>
    </row>
    <row r="20" spans="1:17" x14ac:dyDescent="0.3">
      <c r="B20" t="s">
        <v>121</v>
      </c>
      <c r="C20" s="1">
        <v>46204</v>
      </c>
      <c r="D20" s="1">
        <v>46387</v>
      </c>
      <c r="F20">
        <v>0</v>
      </c>
      <c r="G20">
        <f>N19</f>
        <v>1</v>
      </c>
      <c r="H20">
        <f>N19/2</f>
        <v>0.5</v>
      </c>
      <c r="I20">
        <v>0</v>
      </c>
      <c r="Q20" t="str">
        <f t="shared" si="0"/>
        <v/>
      </c>
    </row>
    <row r="21" spans="1:17" x14ac:dyDescent="0.3">
      <c r="B21" t="s">
        <v>121</v>
      </c>
      <c r="C21" t="s">
        <v>125</v>
      </c>
      <c r="E21" t="s">
        <v>123</v>
      </c>
      <c r="F21" s="1">
        <v>46096</v>
      </c>
      <c r="G21" s="1">
        <v>46142</v>
      </c>
      <c r="H21" s="1">
        <v>46172</v>
      </c>
      <c r="I21" s="1">
        <v>46203</v>
      </c>
      <c r="J21" s="1"/>
      <c r="Q21" t="str">
        <f t="shared" si="0"/>
        <v/>
      </c>
    </row>
    <row r="22" spans="1:17" s="11" customFormat="1" x14ac:dyDescent="0.3">
      <c r="B22" s="11" t="s">
        <v>121</v>
      </c>
      <c r="C22" s="14">
        <v>46023</v>
      </c>
      <c r="D22" s="14">
        <v>46203</v>
      </c>
      <c r="F22" s="11">
        <v>0</v>
      </c>
      <c r="G22" s="11">
        <f>N19*3/4</f>
        <v>0.75</v>
      </c>
      <c r="H22" s="11">
        <f>N19/2</f>
        <v>0.5</v>
      </c>
      <c r="I22" s="11">
        <v>0</v>
      </c>
      <c r="Q22" s="11" t="str">
        <f t="shared" si="0"/>
        <v/>
      </c>
    </row>
    <row r="23" spans="1:17" x14ac:dyDescent="0.3">
      <c r="A23" t="s">
        <v>32</v>
      </c>
      <c r="B23" t="s">
        <v>128</v>
      </c>
      <c r="C23" t="s">
        <v>129</v>
      </c>
      <c r="D23" t="s">
        <v>35</v>
      </c>
      <c r="E23" t="s">
        <v>33</v>
      </c>
      <c r="F23" t="s">
        <v>130</v>
      </c>
      <c r="G23" t="s">
        <v>131</v>
      </c>
      <c r="H23" t="s">
        <v>132</v>
      </c>
      <c r="N23">
        <v>2</v>
      </c>
      <c r="O23" t="str">
        <f>Zaai!D10</f>
        <v>Ja</v>
      </c>
      <c r="P23" t="s">
        <v>133</v>
      </c>
      <c r="Q23" t="str">
        <f t="shared" si="0"/>
        <v xml:space="preserve">Gras wordt best gezaaid op een diepte van 1 - 2 cm. </v>
      </c>
    </row>
    <row r="24" spans="1:17" s="11" customFormat="1" x14ac:dyDescent="0.3">
      <c r="B24" s="11" t="s">
        <v>128</v>
      </c>
      <c r="C24" s="11">
        <f>N23/4</f>
        <v>0.5</v>
      </c>
      <c r="D24" s="11">
        <f>N23*3/4</f>
        <v>1.5</v>
      </c>
      <c r="E24" s="11">
        <f>N23</f>
        <v>2</v>
      </c>
      <c r="F24" s="11">
        <f>N23</f>
        <v>2</v>
      </c>
      <c r="G24" s="11">
        <v>0</v>
      </c>
      <c r="H24" s="11">
        <v>0</v>
      </c>
      <c r="Q24" s="11" t="str">
        <f t="shared" si="0"/>
        <v/>
      </c>
    </row>
    <row r="25" spans="1:17" s="5" customFormat="1" x14ac:dyDescent="0.3">
      <c r="A25" s="5" t="s">
        <v>34</v>
      </c>
      <c r="B25" s="5" t="s">
        <v>128</v>
      </c>
      <c r="C25" s="5" t="s">
        <v>129</v>
      </c>
      <c r="D25" s="5" t="s">
        <v>35</v>
      </c>
      <c r="E25" s="5" t="s">
        <v>33</v>
      </c>
      <c r="F25" s="5" t="s">
        <v>130</v>
      </c>
      <c r="G25" s="5" t="s">
        <v>131</v>
      </c>
      <c r="H25" s="5" t="s">
        <v>132</v>
      </c>
      <c r="N25" s="5">
        <v>1</v>
      </c>
      <c r="O25" s="5" t="str">
        <f>Zaai!D11</f>
        <v>Ja</v>
      </c>
      <c r="P25" s="5" t="s">
        <v>134</v>
      </c>
      <c r="Q25" s="5" t="str">
        <f t="shared" si="0"/>
        <v xml:space="preserve">Zaai klaver liefst op 0,5 - 1 cm diepte. Dieper zaaien dan 1,5 cm zal het opkomstpercentage snel doen dalen. </v>
      </c>
    </row>
    <row r="26" spans="1:17" s="11" customFormat="1" x14ac:dyDescent="0.3">
      <c r="B26" s="11" t="s">
        <v>128</v>
      </c>
      <c r="C26" s="11">
        <f>N25*3/4</f>
        <v>0.75</v>
      </c>
      <c r="D26" s="11">
        <f>N25</f>
        <v>1</v>
      </c>
      <c r="E26" s="11">
        <f>N25*3/4</f>
        <v>0.75</v>
      </c>
      <c r="F26" s="11">
        <f>N25/2</f>
        <v>0.5</v>
      </c>
      <c r="G26" s="11">
        <v>0</v>
      </c>
      <c r="H26" s="11">
        <v>0</v>
      </c>
      <c r="Q26" s="11" t="str">
        <f t="shared" si="0"/>
        <v/>
      </c>
    </row>
    <row r="27" spans="1:17" s="5" customFormat="1" x14ac:dyDescent="0.3">
      <c r="A27" s="5" t="s">
        <v>36</v>
      </c>
      <c r="B27" s="5" t="s">
        <v>115</v>
      </c>
      <c r="C27" s="5" t="s">
        <v>24</v>
      </c>
      <c r="D27" s="5" t="s">
        <v>61</v>
      </c>
      <c r="N27" s="5">
        <v>1</v>
      </c>
      <c r="O27" s="5" t="str">
        <f>Zaai!D12</f>
        <v>Ja</v>
      </c>
      <c r="P27" s="5" t="s">
        <v>135</v>
      </c>
      <c r="Q27" s="5" t="str">
        <f t="shared" si="0"/>
        <v xml:space="preserve">Door verschillen in vorm en soortelijk gewicht van zaad, kan er ontmenging optreden. Hierdoor zullen er delen van het perceel ingezaaid zijn met zeer weinig klaver (of kruiden) terwijl er op andere delen is ingezaaid met vooral klaver en weinig gras. Dit moet voorkomen worden om optimaal te profiteren van het nut van een dergelijke mengteelt. </v>
      </c>
    </row>
    <row r="28" spans="1:17" s="11" customFormat="1" x14ac:dyDescent="0.3">
      <c r="B28" s="11" t="s">
        <v>115</v>
      </c>
      <c r="C28" s="11">
        <f>N27</f>
        <v>1</v>
      </c>
      <c r="D28" s="11">
        <v>0</v>
      </c>
      <c r="Q28" s="11" t="str">
        <f t="shared" si="0"/>
        <v/>
      </c>
    </row>
    <row r="29" spans="1:17" x14ac:dyDescent="0.3">
      <c r="A29" t="s">
        <v>37</v>
      </c>
      <c r="B29" t="s">
        <v>115</v>
      </c>
      <c r="C29" t="s">
        <v>24</v>
      </c>
      <c r="D29" t="s">
        <v>61</v>
      </c>
      <c r="N29">
        <v>1</v>
      </c>
      <c r="O29" t="str">
        <f>Zaai!D13</f>
        <v>Ja</v>
      </c>
      <c r="P29" t="s">
        <v>136</v>
      </c>
      <c r="Q29" t="str">
        <f t="shared" si="0"/>
        <v xml:space="preserve">Het aandrukken met een rol na het zaaien, helpt het contact tussen het zaad en de bodem te verhogen wat zorgt voor een betere vochtbeschikbaarheid en kleinere kans op wegwaaien. Eveneens zorgt dit ervoor dat de bodem minder snel uitdroogd. </v>
      </c>
    </row>
    <row r="30" spans="1:17" s="11" customFormat="1" x14ac:dyDescent="0.3">
      <c r="B30" s="11" t="s">
        <v>115</v>
      </c>
      <c r="C30" s="11">
        <f>N29</f>
        <v>1</v>
      </c>
      <c r="D30" s="11">
        <v>0</v>
      </c>
      <c r="Q30" s="11" t="str">
        <f t="shared" si="0"/>
        <v/>
      </c>
    </row>
    <row r="31" spans="1:17" s="5" customFormat="1" x14ac:dyDescent="0.3">
      <c r="A31" s="9" t="s">
        <v>137</v>
      </c>
      <c r="N31" s="9">
        <f>SUM(N4:N30)</f>
        <v>10.25</v>
      </c>
      <c r="O31" s="9"/>
      <c r="P31" s="5" t="str">
        <f>_xlfn.CONCAT(P4:P30)</f>
        <v xml:space="preserve">Een rassenlijst kan helpen bij het maken van de meest geschikte zaadkeuze voor je perceel. Door veredeling worden er nog altijd nieuwe, beter presterende rassen ontwikkeld. Klavers kunnen de stikstofefficiëntie van je grasland sterk verhogen wanneer deze naar behoren worden beheerd. Overweeg om ook eens kruiden op te nemen in je zaaimengsel. Net zoals klavers  zijn er heel wat kruiden die kunnen bijdragen aan het klimaatrobuuster maken van je grasland. Idealieter wordt grasland ingezaaid van augustus tot oktober. Het succes zal echter afhankelijk zijn van de temperatuur en neerslag in de periode na het zaaien. Voorjaarszaai is een mogelijkheid, maar wordt omwille van de onkruiddruk en de steeds vaker voorkomende droge groeiomstandigheden in het voorjaar best als 2de keuze gezien. Idealieter wordt grasklaver reeds gezaaid in augustus - september. Klaver heeft nog iets hogere temperaturen nodig om goed te kunnen kiemen en groeien in vergelijking tot gras en moet voldoende groot de winter in kunnen gaan.Gras wordt best gezaaid op een diepte van 1 - 2 cm. Zaai klaver liefst op 0,5 - 1 cm diepte. Dieper zaaien dan 1,5 cm zal het opkomstpercentage snel doen dalen. Door verschillen in vorm en soortelijk gewicht van zaad, kan er ontmenging optreden. Hierdoor zullen er delen van het perceel ingezaaid zijn met zeer weinig klaver (of kruiden) terwijl er op andere delen is ingezaaid met vooral klaver en weinig gras. Dit moet voorkomen worden om optimaal te profiteren van het nut van een dergelijke mengteelt. Het aandrukken met een rol na het zaaien, helpt het contact tussen het zaad en de bodem te verhogen wat zorgt voor een betere vochtbeschikbaarheid en kleinere kans op wegwaaien. Eveneens zorgt dit ervoor dat de bodem minder snel uitdroogd. </v>
      </c>
      <c r="Q31" s="5" t="str">
        <f>_xlfn.CONCAT(Q4:Q30)</f>
        <v xml:space="preserve">Een rassenlijst kan helpen bij het maken van de meest geschikte zaadkeuze voor je perceel. Door veredeling worden er nog altijd nieuwe, beter presterende rassen ontwikkeld. Klavers kunnen de stikstofefficiëntie van je grasland sterk verhogen wanneer deze naar behoren worden beheerd. Overweeg om ook eens kruiden op te nemen in je zaaimengsel. Net zoals klavers  zijn er heel wat kruiden die kunnen bijdragen aan het klimaatrobuuster maken van je grasland. Idealieter wordt grasland ingezaaid van augustus tot oktober. Het succes zal echter afhankelijk zijn van de temperatuur en neerslag in de periode na het zaaien. Voorjaarszaai is een mogelijkheid, maar wordt omwille van de onkruiddruk en de steeds vaker voorkomende droge groeiomstandigheden in het voorjaar best als 2de keuze gezien. Idealieter wordt grasklaver reeds gezaaid in augustus - september. Klaver heeft nog iets hogere temperaturen nodig om goed te kunnen kiemen en groeien in vergelijking tot gras en moet voldoende groot de winter in kunnen gaan.Gras wordt best gezaaid op een diepte van 1 - 2 cm. Zaai klaver liefst op 0,5 - 1 cm diepte. Dieper zaaien dan 1,5 cm zal het opkomstpercentage snel doen dalen. Door verschillen in vorm en soortelijk gewicht van zaad, kan er ontmenging optreden. Hierdoor zullen er delen van het perceel ingezaaid zijn met zeer weinig klaver (of kruiden) terwijl er op andere delen is ingezaaid met vooral klaver en weinig gras. Dit moet voorkomen worden om optimaal te profiteren van het nut van een dergelijke mengteelt. Het aandrukken met een rol na het zaaien, helpt het contact tussen het zaad en de bodem te verhogen wat zorgt voor een betere vochtbeschikbaarheid en kleinere kans op wegwaaien. Eveneens zorgt dit ervoor dat de bodem minder snel uitdroogd. </v>
      </c>
    </row>
    <row r="32" spans="1:17" s="15" customFormat="1" ht="15" thickBot="1" x14ac:dyDescent="0.35">
      <c r="A32" s="21" t="s">
        <v>138</v>
      </c>
      <c r="N32" s="21">
        <f>SUM(N29,N23,N15,N13,N11,N9,N7,N4)</f>
        <v>7.25</v>
      </c>
      <c r="O32" s="21"/>
      <c r="P32" s="15" t="str">
        <f>_xlfn.CONCAT(P4:P18,P23:P24,P29:P30)</f>
        <v xml:space="preserve">Een rassenlijst kan helpen bij het maken van de meest geschikte zaadkeuze voor je perceel. Door veredeling worden er nog altijd nieuwe, beter presterende rassen ontwikkeld. Klavers kunnen de stikstofefficiëntie van je grasland sterk verhogen wanneer deze naar behoren worden beheerd. Overweeg om ook eens kruiden op te nemen in je zaaimengsel. Net zoals klavers  zijn er heel wat kruiden die kunnen bijdragen aan het klimaatrobuuster maken van je grasland. Idealieter wordt grasland ingezaaid van augustus tot oktober. Het succes zal echter afhankelijk zijn van de temperatuur en neerslag in de periode na het zaaien. Voorjaarszaai is een mogelijkheid, maar wordt omwille van de onkruiddruk en de steeds vaker voorkomende droge groeiomstandigheden in het voorjaar best als 2de keuze gezien. Gras wordt best gezaaid op een diepte van 1 - 2 cm. Het aandrukken met een rol na het zaaien, helpt het contact tussen het zaad en de bodem te verhogen wat zorgt voor een betere vochtbeschikbaarheid en kleinere kans op wegwaaien. Eveneens zorgt dit ervoor dat de bodem minder snel uitdroogd. </v>
      </c>
      <c r="Q32" s="15" t="str">
        <f>_xlfn.CONCAT(Q4:Q18,Q23:Q24,Q29:Q30)</f>
        <v xml:space="preserve">Een rassenlijst kan helpen bij het maken van de meest geschikte zaadkeuze voor je perceel. Door veredeling worden er nog altijd nieuwe, beter presterende rassen ontwikkeld. Klavers kunnen de stikstofefficiëntie van je grasland sterk verhogen wanneer deze naar behoren worden beheerd. Overweeg om ook eens kruiden op te nemen in je zaaimengsel. Net zoals klavers  zijn er heel wat kruiden die kunnen bijdragen aan het klimaatrobuuster maken van je grasland. Idealieter wordt grasland ingezaaid van augustus tot oktober. Het succes zal echter afhankelijk zijn van de temperatuur en neerslag in de periode na het zaaien. Voorjaarszaai is een mogelijkheid, maar wordt omwille van de onkruiddruk en de steeds vaker voorkomende droge groeiomstandigheden in het voorjaar best als 2de keuze gezien. Gras wordt best gezaaid op een diepte van 1 - 2 cm. Het aandrukken met een rol na het zaaien, helpt het contact tussen het zaad en de bodem te verhogen wat zorgt voor een betere vochtbeschikbaarheid en kleinere kans op wegwaaien. Eveneens zorgt dit ervoor dat de bodem minder snel uitdroogd. </v>
      </c>
    </row>
    <row r="33" spans="1:17" x14ac:dyDescent="0.3">
      <c r="Q33" t="str">
        <f t="shared" si="0"/>
        <v/>
      </c>
    </row>
    <row r="34" spans="1:17" s="11" customFormat="1" x14ac:dyDescent="0.3">
      <c r="A34" s="12" t="s">
        <v>96</v>
      </c>
      <c r="B34" s="12" t="s">
        <v>110</v>
      </c>
      <c r="C34" s="12" t="s">
        <v>111</v>
      </c>
      <c r="N34" s="12" t="s">
        <v>112</v>
      </c>
      <c r="O34" s="12" t="s">
        <v>21</v>
      </c>
      <c r="P34" s="12" t="s">
        <v>113</v>
      </c>
      <c r="Q34" s="12" t="s">
        <v>114</v>
      </c>
    </row>
    <row r="35" spans="1:17" x14ac:dyDescent="0.3">
      <c r="A35" t="s">
        <v>139</v>
      </c>
      <c r="B35" t="s">
        <v>115</v>
      </c>
      <c r="C35" t="s">
        <v>24</v>
      </c>
      <c r="D35" t="s">
        <v>61</v>
      </c>
      <c r="N35">
        <v>1</v>
      </c>
      <c r="O35" t="str">
        <f>Nutriëntenbeheer!D2</f>
        <v>Ja</v>
      </c>
      <c r="P35" t="s">
        <v>140</v>
      </c>
      <c r="Q35" t="str">
        <f t="shared" si="0"/>
        <v xml:space="preserve">Zonder recente bodemanalyse weten we niet wat er toegediend moet worden om het volle potentieel uit het grasland te halen. </v>
      </c>
    </row>
    <row r="36" spans="1:17" s="11" customFormat="1" x14ac:dyDescent="0.3">
      <c r="B36" s="11" t="s">
        <v>115</v>
      </c>
      <c r="C36" s="11">
        <f>N35</f>
        <v>1</v>
      </c>
      <c r="D36" s="11">
        <v>0</v>
      </c>
      <c r="Q36" s="11" t="str">
        <f t="shared" si="0"/>
        <v/>
      </c>
    </row>
    <row r="37" spans="1:17" x14ac:dyDescent="0.3">
      <c r="A37" t="s">
        <v>41</v>
      </c>
      <c r="B37" t="s">
        <v>115</v>
      </c>
      <c r="C37" t="s">
        <v>24</v>
      </c>
      <c r="D37" t="s">
        <v>61</v>
      </c>
      <c r="N37">
        <v>1</v>
      </c>
      <c r="O37" t="str">
        <f>Nutriëntenbeheer!D3</f>
        <v>Ja</v>
      </c>
      <c r="P37" t="s">
        <v>141</v>
      </c>
      <c r="Q37" t="str">
        <f t="shared" si="0"/>
        <v xml:space="preserve">De zuurtegraad van de bodem bepaalt in grote mate de plantbeschikbaarheid van heel wat mineralen en is eveneens belangrijk voor een goede stikstoffixatie door vlinderbloemigen zoals klaver. </v>
      </c>
    </row>
    <row r="38" spans="1:17" s="11" customFormat="1" x14ac:dyDescent="0.3">
      <c r="B38" s="11" t="s">
        <v>115</v>
      </c>
      <c r="C38" s="11">
        <f>N37</f>
        <v>1</v>
      </c>
      <c r="D38" s="11">
        <v>0</v>
      </c>
      <c r="Q38" s="11" t="str">
        <f t="shared" si="0"/>
        <v/>
      </c>
    </row>
    <row r="39" spans="1:17" x14ac:dyDescent="0.3">
      <c r="A39" t="s">
        <v>42</v>
      </c>
      <c r="B39" t="s">
        <v>128</v>
      </c>
      <c r="D39" t="s">
        <v>100</v>
      </c>
      <c r="E39" t="s">
        <v>101</v>
      </c>
      <c r="F39" t="s">
        <v>102</v>
      </c>
      <c r="G39" t="s">
        <v>103</v>
      </c>
      <c r="H39" t="s">
        <v>104</v>
      </c>
      <c r="I39" t="s">
        <v>105</v>
      </c>
      <c r="J39" t="s">
        <v>43</v>
      </c>
      <c r="K39" t="s">
        <v>106</v>
      </c>
      <c r="N39">
        <v>1</v>
      </c>
      <c r="O39" t="e">
        <f>Nutriëntenbeheer!D4</f>
        <v>#N/A</v>
      </c>
      <c r="P39" t="e">
        <f>VLOOKUP(C40,C41:P44,14,FALSE)</f>
        <v>#N/A</v>
      </c>
      <c r="Q39" t="e">
        <f t="shared" si="0"/>
        <v>#N/A</v>
      </c>
    </row>
    <row r="40" spans="1:17" x14ac:dyDescent="0.3">
      <c r="B40" t="s">
        <v>128</v>
      </c>
      <c r="C40" s="10">
        <f>Algemeen!B8</f>
        <v>0</v>
      </c>
      <c r="D40">
        <f>IF($C$40=$C$41,D41,IF($C$40=$C$42,D42,IF($C$40=$C$43,D43,IF($C$40=$C$44,D44,0))))</f>
        <v>0</v>
      </c>
      <c r="E40">
        <f t="shared" ref="E40:K40" si="1">IF($C$40=$C$41,E41,IF($C$40=$C$42,E42,IF($C$40=$C$43,E43,IF($C$40=$C$44,E44,0))))</f>
        <v>0</v>
      </c>
      <c r="F40">
        <f t="shared" si="1"/>
        <v>0</v>
      </c>
      <c r="G40">
        <f t="shared" si="1"/>
        <v>0</v>
      </c>
      <c r="H40">
        <f t="shared" si="1"/>
        <v>0</v>
      </c>
      <c r="I40">
        <f t="shared" si="1"/>
        <v>0</v>
      </c>
      <c r="J40">
        <f t="shared" si="1"/>
        <v>0</v>
      </c>
      <c r="K40">
        <f t="shared" si="1"/>
        <v>0</v>
      </c>
      <c r="Q40" t="str">
        <f t="shared" si="0"/>
        <v/>
      </c>
    </row>
    <row r="41" spans="1:17" x14ac:dyDescent="0.3">
      <c r="B41" t="s">
        <v>128</v>
      </c>
      <c r="C41" t="s">
        <v>8</v>
      </c>
      <c r="D41">
        <v>0</v>
      </c>
      <c r="E41">
        <f>N39/2</f>
        <v>0.5</v>
      </c>
      <c r="F41">
        <f>N39</f>
        <v>1</v>
      </c>
      <c r="G41">
        <f>N39</f>
        <v>1</v>
      </c>
      <c r="H41">
        <f>N39/2</f>
        <v>0.5</v>
      </c>
      <c r="I41">
        <v>0</v>
      </c>
      <c r="J41">
        <v>0</v>
      </c>
      <c r="K41">
        <v>0</v>
      </c>
      <c r="P41" t="s">
        <v>142</v>
      </c>
      <c r="Q41" t="str">
        <f t="shared" si="0"/>
        <v/>
      </c>
    </row>
    <row r="42" spans="1:17" x14ac:dyDescent="0.3">
      <c r="B42" t="s">
        <v>128</v>
      </c>
      <c r="C42" t="s">
        <v>143</v>
      </c>
      <c r="D42">
        <v>0</v>
      </c>
      <c r="E42">
        <v>0</v>
      </c>
      <c r="F42">
        <v>0</v>
      </c>
      <c r="G42">
        <f>N39/2</f>
        <v>0.5</v>
      </c>
      <c r="H42">
        <f>N39</f>
        <v>1</v>
      </c>
      <c r="I42">
        <f>N39</f>
        <v>1</v>
      </c>
      <c r="J42">
        <f>N39/2</f>
        <v>0.5</v>
      </c>
      <c r="K42">
        <v>0</v>
      </c>
      <c r="P42" t="s">
        <v>144</v>
      </c>
      <c r="Q42" t="str">
        <f t="shared" si="0"/>
        <v/>
      </c>
    </row>
    <row r="43" spans="1:17" x14ac:dyDescent="0.3">
      <c r="B43" t="s">
        <v>128</v>
      </c>
      <c r="C43" t="s">
        <v>145</v>
      </c>
      <c r="D43">
        <v>0</v>
      </c>
      <c r="E43">
        <v>0</v>
      </c>
      <c r="F43">
        <v>0</v>
      </c>
      <c r="G43">
        <v>0</v>
      </c>
      <c r="H43">
        <f>N39/2</f>
        <v>0.5</v>
      </c>
      <c r="I43">
        <f>N39</f>
        <v>1</v>
      </c>
      <c r="J43">
        <f>N39</f>
        <v>1</v>
      </c>
      <c r="K43">
        <f>N39/2</f>
        <v>0.5</v>
      </c>
      <c r="P43" t="s">
        <v>146</v>
      </c>
      <c r="Q43" t="str">
        <f t="shared" si="0"/>
        <v/>
      </c>
    </row>
    <row r="44" spans="1:17" s="11" customFormat="1" x14ac:dyDescent="0.3">
      <c r="B44" s="11" t="s">
        <v>128</v>
      </c>
      <c r="C44" s="11" t="s">
        <v>147</v>
      </c>
      <c r="D44" s="11">
        <v>0</v>
      </c>
      <c r="E44" s="11">
        <v>0</v>
      </c>
      <c r="F44" s="11">
        <v>0</v>
      </c>
      <c r="G44" s="11">
        <v>0</v>
      </c>
      <c r="H44" s="11">
        <v>0</v>
      </c>
      <c r="I44" s="11">
        <f>N39/2</f>
        <v>0.5</v>
      </c>
      <c r="J44" s="11">
        <f>N39</f>
        <v>1</v>
      </c>
      <c r="K44" s="11">
        <f>N39</f>
        <v>1</v>
      </c>
      <c r="P44" s="11" t="s">
        <v>148</v>
      </c>
      <c r="Q44" s="11" t="str">
        <f t="shared" si="0"/>
        <v/>
      </c>
    </row>
    <row r="45" spans="1:17" x14ac:dyDescent="0.3">
      <c r="A45" t="s">
        <v>44</v>
      </c>
      <c r="B45" t="s">
        <v>115</v>
      </c>
      <c r="C45" t="s">
        <v>24</v>
      </c>
      <c r="D45" t="s">
        <v>61</v>
      </c>
      <c r="N45">
        <v>1</v>
      </c>
      <c r="O45" t="str">
        <f>Nutriëntenbeheer!D5</f>
        <v>Ja</v>
      </c>
      <c r="P45" t="s">
        <v>409</v>
      </c>
      <c r="Q45" t="str">
        <f t="shared" si="0"/>
        <v xml:space="preserve">Om goed te weten wat u juist moet/kan bemesten is het belangrijk ook te weten wat er in uw dierlijke mest zit. Zo zit drijfmest soms lager in N-inhoud vergeleken met de forfaitaire waarde. Wat dan zou betekenen dat er meer kan worden uitgereden zonder de norm te overscheiden. </v>
      </c>
    </row>
    <row r="46" spans="1:17" s="11" customFormat="1" x14ac:dyDescent="0.3">
      <c r="B46" s="11" t="s">
        <v>115</v>
      </c>
      <c r="C46" s="11">
        <f>N45</f>
        <v>1</v>
      </c>
      <c r="D46" s="11">
        <v>0</v>
      </c>
      <c r="Q46" s="11" t="str">
        <f t="shared" si="0"/>
        <v/>
      </c>
    </row>
    <row r="47" spans="1:17" x14ac:dyDescent="0.3">
      <c r="A47" t="s">
        <v>45</v>
      </c>
      <c r="B47" t="s">
        <v>117</v>
      </c>
      <c r="Q47" t="str">
        <f t="shared" si="0"/>
        <v/>
      </c>
    </row>
    <row r="48" spans="1:17" x14ac:dyDescent="0.3">
      <c r="A48" s="2" t="s">
        <v>46</v>
      </c>
      <c r="B48" t="s">
        <v>117</v>
      </c>
      <c r="C48" t="b">
        <v>1</v>
      </c>
      <c r="D48" t="b">
        <v>0</v>
      </c>
      <c r="N48">
        <v>0.75</v>
      </c>
      <c r="O48" t="str">
        <f>Nutriëntenbeheer!D7</f>
        <v>Ja</v>
      </c>
      <c r="P48" t="s">
        <v>149</v>
      </c>
      <c r="Q48" t="str">
        <f t="shared" si="0"/>
        <v xml:space="preserve">Stikstof (N) is één van de voornaamste elementen voor de grasgroei en bepaalt in grote mate de mogelijke eiwitproductie. </v>
      </c>
    </row>
    <row r="49" spans="1:17" x14ac:dyDescent="0.3">
      <c r="A49" s="2"/>
      <c r="B49" t="s">
        <v>117</v>
      </c>
      <c r="C49">
        <f>N48</f>
        <v>0.75</v>
      </c>
      <c r="D49">
        <v>0</v>
      </c>
      <c r="Q49" t="str">
        <f t="shared" si="0"/>
        <v/>
      </c>
    </row>
    <row r="50" spans="1:17" x14ac:dyDescent="0.3">
      <c r="A50" s="2" t="s">
        <v>47</v>
      </c>
      <c r="B50" t="s">
        <v>117</v>
      </c>
      <c r="C50" t="b">
        <v>1</v>
      </c>
      <c r="D50" t="b">
        <v>0</v>
      </c>
      <c r="N50">
        <v>0.75</v>
      </c>
      <c r="O50" t="str">
        <f>Nutriëntenbeheer!D8</f>
        <v>Ja</v>
      </c>
      <c r="P50" t="s">
        <v>150</v>
      </c>
      <c r="Q50" t="str">
        <f t="shared" si="0"/>
        <v xml:space="preserve">Fosfor (P) heeft een sterke invloed op de grasgroei en tekorten kunnen leiden tot verwelking en paarskleuring. Heel wat gronden zijn nog rijk aan fosfor door historische bemesting. Tekorten moeten echter ten alle tijden voorkomen worden. </v>
      </c>
    </row>
    <row r="51" spans="1:17" x14ac:dyDescent="0.3">
      <c r="A51" s="2"/>
      <c r="B51" t="s">
        <v>117</v>
      </c>
      <c r="C51">
        <f>N50</f>
        <v>0.75</v>
      </c>
      <c r="D51">
        <v>0</v>
      </c>
      <c r="Q51" t="str">
        <f t="shared" si="0"/>
        <v/>
      </c>
    </row>
    <row r="52" spans="1:17" x14ac:dyDescent="0.3">
      <c r="A52" s="2" t="s">
        <v>48</v>
      </c>
      <c r="B52" t="s">
        <v>117</v>
      </c>
      <c r="C52" t="b">
        <v>1</v>
      </c>
      <c r="D52" t="b">
        <v>0</v>
      </c>
      <c r="N52">
        <v>0.75</v>
      </c>
      <c r="O52" t="str">
        <f>Nutriëntenbeheer!D9</f>
        <v>Ja</v>
      </c>
      <c r="P52" t="s">
        <v>151</v>
      </c>
      <c r="Q52" t="str">
        <f t="shared" si="0"/>
        <v xml:space="preserve">Kalium (K) is belangrijk voor een optimale opbrengst, maar helpt de plant eveneens extremere periodes (droogte, hitte maar ook koude) beter overbruggen. Vaak kan er niet aan de kali-vraag voldaan worden met enkel de aanvoer van drijfmest. </v>
      </c>
    </row>
    <row r="53" spans="1:17" x14ac:dyDescent="0.3">
      <c r="A53" s="2"/>
      <c r="B53" t="s">
        <v>117</v>
      </c>
      <c r="C53">
        <f>N52</f>
        <v>0.75</v>
      </c>
      <c r="D53">
        <v>0</v>
      </c>
      <c r="Q53" t="str">
        <f t="shared" si="0"/>
        <v/>
      </c>
    </row>
    <row r="54" spans="1:17" x14ac:dyDescent="0.3">
      <c r="A54" s="2" t="s">
        <v>49</v>
      </c>
      <c r="B54" t="s">
        <v>117</v>
      </c>
      <c r="C54" t="b">
        <v>1</v>
      </c>
      <c r="D54" t="b">
        <v>0</v>
      </c>
      <c r="N54">
        <v>0.5</v>
      </c>
      <c r="O54" t="str">
        <f>Nutriëntenbeheer!D10</f>
        <v>Ja</v>
      </c>
      <c r="P54" t="s">
        <v>152</v>
      </c>
      <c r="Q54" t="str">
        <f t="shared" si="0"/>
        <v xml:space="preserve">Zwavel (S) heeft een grote invloed op de eiwitproductie door gras. Je kan er dus best voldoende rekening mee houden. </v>
      </c>
    </row>
    <row r="55" spans="1:17" x14ac:dyDescent="0.3">
      <c r="A55" s="2"/>
      <c r="B55" t="s">
        <v>117</v>
      </c>
      <c r="C55">
        <f>N54</f>
        <v>0.5</v>
      </c>
      <c r="D55">
        <v>0</v>
      </c>
      <c r="Q55" t="str">
        <f t="shared" si="0"/>
        <v/>
      </c>
    </row>
    <row r="56" spans="1:17" x14ac:dyDescent="0.3">
      <c r="A56" s="2" t="s">
        <v>50</v>
      </c>
      <c r="B56" t="s">
        <v>117</v>
      </c>
      <c r="C56" t="b">
        <v>1</v>
      </c>
      <c r="D56" t="b">
        <v>0</v>
      </c>
      <c r="N56">
        <v>0.5</v>
      </c>
      <c r="O56" t="str">
        <f>Nutriëntenbeheer!D11</f>
        <v>Ja</v>
      </c>
      <c r="P56" t="s">
        <v>153</v>
      </c>
      <c r="Q56" t="str">
        <f t="shared" si="0"/>
        <v xml:space="preserve">Magnesium (Mg) vormt de centrale kern van de chlorofylmolecule in het plantenweefsel. Door tekorten zal de fotosynthese dus ook sterk geremd worden. Houdt echter ook voldoende rekening met de verhouding Mg t.o.v. K, daar deze elementen elkaar verdringen. Vermijd zo ook kopziekte bij uw vee. </v>
      </c>
    </row>
    <row r="57" spans="1:17" x14ac:dyDescent="0.3">
      <c r="A57" s="2"/>
      <c r="B57" t="s">
        <v>117</v>
      </c>
      <c r="C57">
        <f>N56</f>
        <v>0.5</v>
      </c>
      <c r="D57">
        <v>0</v>
      </c>
      <c r="Q57" t="str">
        <f t="shared" si="0"/>
        <v/>
      </c>
    </row>
    <row r="58" spans="1:17" x14ac:dyDescent="0.3">
      <c r="A58" s="2" t="s">
        <v>51</v>
      </c>
      <c r="B58" t="s">
        <v>117</v>
      </c>
      <c r="C58" t="b">
        <v>1</v>
      </c>
      <c r="D58" t="b">
        <v>0</v>
      </c>
      <c r="N58">
        <v>0.5</v>
      </c>
      <c r="O58" t="str">
        <f>Nutriëntenbeheer!D12</f>
        <v>Ja</v>
      </c>
      <c r="Q58" t="str">
        <f t="shared" si="0"/>
        <v/>
      </c>
    </row>
    <row r="59" spans="1:17" x14ac:dyDescent="0.3">
      <c r="A59" s="2"/>
      <c r="B59" t="s">
        <v>117</v>
      </c>
      <c r="C59">
        <f>N58</f>
        <v>0.5</v>
      </c>
      <c r="D59">
        <v>0</v>
      </c>
      <c r="Q59" t="str">
        <f t="shared" si="0"/>
        <v/>
      </c>
    </row>
    <row r="60" spans="1:17" x14ac:dyDescent="0.3">
      <c r="A60" s="2" t="s">
        <v>52</v>
      </c>
      <c r="B60" t="s">
        <v>117</v>
      </c>
      <c r="C60" t="b">
        <v>1</v>
      </c>
      <c r="D60" t="b">
        <v>0</v>
      </c>
      <c r="N60">
        <v>0.5</v>
      </c>
      <c r="O60" t="str">
        <f>Nutriëntenbeheer!D13</f>
        <v>Ja</v>
      </c>
      <c r="P60" t="s">
        <v>154</v>
      </c>
      <c r="Q60" t="str">
        <f t="shared" si="0"/>
        <v xml:space="preserve">Natrium (Na) is vooral belangrijk naar smakelijkheid van het gras en kan dus de opname helpen verhogen. Verder kan natrium de weerstand tegen droogte helpen verhogen. </v>
      </c>
    </row>
    <row r="61" spans="1:17" s="11" customFormat="1" x14ac:dyDescent="0.3">
      <c r="B61" s="11" t="s">
        <v>117</v>
      </c>
      <c r="C61" s="11">
        <f>N60</f>
        <v>0.5</v>
      </c>
      <c r="D61" s="11">
        <v>0</v>
      </c>
      <c r="Q61" s="11" t="str">
        <f t="shared" si="0"/>
        <v/>
      </c>
    </row>
    <row r="62" spans="1:17" x14ac:dyDescent="0.3">
      <c r="A62" t="s">
        <v>53</v>
      </c>
      <c r="B62" t="s">
        <v>155</v>
      </c>
      <c r="C62" t="s">
        <v>156</v>
      </c>
      <c r="D62">
        <v>5</v>
      </c>
      <c r="E62" t="s">
        <v>157</v>
      </c>
      <c r="N62">
        <v>1</v>
      </c>
      <c r="O62" t="str">
        <f>Nutriëntenbeheer!D14</f>
        <v>Ja</v>
      </c>
      <c r="P62" t="s">
        <v>158</v>
      </c>
      <c r="Q62" t="str">
        <f>IF(OR(O62="Nee",O62="",P62=""),"",P62)</f>
        <v xml:space="preserve">Bij een bodemtemperatuur onder 5°C vindt er nagenoeg geen mineralisatie en grasgroei plaats. Daarom kan er beter gewacht worden tot deze bereikt is om de kans op uitspoeling van nutriënten te beperken.  </v>
      </c>
    </row>
    <row r="63" spans="1:17" s="11" customFormat="1" x14ac:dyDescent="0.3">
      <c r="B63" s="11" t="s">
        <v>155</v>
      </c>
      <c r="D63" s="11">
        <v>0</v>
      </c>
      <c r="E63" s="11">
        <f>N62</f>
        <v>1</v>
      </c>
      <c r="Q63" s="11" t="str">
        <f t="shared" si="0"/>
        <v/>
      </c>
    </row>
    <row r="64" spans="1:17" x14ac:dyDescent="0.3">
      <c r="A64" t="s">
        <v>425</v>
      </c>
      <c r="B64" t="s">
        <v>155</v>
      </c>
      <c r="C64" t="s">
        <v>156</v>
      </c>
      <c r="D64">
        <v>180</v>
      </c>
      <c r="E64">
        <v>401</v>
      </c>
      <c r="F64" t="s">
        <v>157</v>
      </c>
      <c r="N64">
        <v>1</v>
      </c>
      <c r="O64" t="str">
        <f>Nutriëntenbeheer!D15</f>
        <v>Ja</v>
      </c>
      <c r="P64" t="s">
        <v>426</v>
      </c>
      <c r="Q64" t="str">
        <f>IF(OR(O64="Nee",O64="",P64=""),"",P64)</f>
        <v>De temperatuursom moet op het moment van de eerste kunstmestgift minimaal 180 graden bedragen. Eerder bemesten resulteert in een inefficiënt nutriëntengebruik en uitspoeling.</v>
      </c>
    </row>
    <row r="65" spans="1:17" s="11" customFormat="1" x14ac:dyDescent="0.3">
      <c r="B65" s="11" t="s">
        <v>155</v>
      </c>
      <c r="D65" s="11">
        <v>0</v>
      </c>
      <c r="E65" s="11">
        <v>1</v>
      </c>
      <c r="F65" s="11">
        <v>0</v>
      </c>
    </row>
    <row r="66" spans="1:17" x14ac:dyDescent="0.3">
      <c r="A66" t="s">
        <v>423</v>
      </c>
      <c r="B66" t="s">
        <v>115</v>
      </c>
      <c r="C66" t="s">
        <v>24</v>
      </c>
      <c r="D66" t="s">
        <v>61</v>
      </c>
      <c r="N66">
        <v>1</v>
      </c>
      <c r="O66" t="str">
        <f>Nutriëntenbeheer!D16</f>
        <v>Ja</v>
      </c>
      <c r="P66" t="s">
        <v>424</v>
      </c>
      <c r="Q66" t="str">
        <f>IF(OR(O66="Nee",O66="",P66=""),"",P66)</f>
        <v>Door voldoende rekening te houden met de draagkracht van de bodem, kan u insporing en bodemverdichting door mest uitrijden voorkomen.</v>
      </c>
    </row>
    <row r="67" spans="1:17" s="11" customFormat="1" x14ac:dyDescent="0.3">
      <c r="B67" s="11" t="s">
        <v>115</v>
      </c>
      <c r="C67" s="11">
        <v>1</v>
      </c>
      <c r="D67" s="11">
        <v>0</v>
      </c>
    </row>
    <row r="68" spans="1:17" x14ac:dyDescent="0.3">
      <c r="A68" t="s">
        <v>54</v>
      </c>
      <c r="B68" t="s">
        <v>128</v>
      </c>
      <c r="C68" t="s">
        <v>159</v>
      </c>
      <c r="D68" t="s">
        <v>160</v>
      </c>
      <c r="E68" t="s">
        <v>161</v>
      </c>
      <c r="F68" t="s">
        <v>55</v>
      </c>
      <c r="G68" t="s">
        <v>162</v>
      </c>
      <c r="N68">
        <v>0.5</v>
      </c>
      <c r="O68" t="str">
        <f>Nutriëntenbeheer!D17</f>
        <v>Nee</v>
      </c>
      <c r="P68" t="s">
        <v>399</v>
      </c>
      <c r="Q68" t="str">
        <f t="shared" si="0"/>
        <v/>
      </c>
    </row>
    <row r="69" spans="1:17" s="11" customFormat="1" x14ac:dyDescent="0.3">
      <c r="B69" s="11" t="s">
        <v>128</v>
      </c>
      <c r="C69" s="11">
        <f>N68/5</f>
        <v>0.1</v>
      </c>
      <c r="D69" s="11">
        <f>N68*2/5</f>
        <v>0.2</v>
      </c>
      <c r="E69" s="11">
        <f>N68*3/5</f>
        <v>0.3</v>
      </c>
      <c r="F69" s="11">
        <f>N68*4/5</f>
        <v>0.4</v>
      </c>
      <c r="G69" s="11">
        <f>N68</f>
        <v>0.5</v>
      </c>
      <c r="Q69" s="11" t="str">
        <f t="shared" si="0"/>
        <v/>
      </c>
    </row>
    <row r="70" spans="1:17" x14ac:dyDescent="0.3">
      <c r="A70" t="s">
        <v>56</v>
      </c>
      <c r="B70" t="s">
        <v>115</v>
      </c>
      <c r="C70" t="s">
        <v>24</v>
      </c>
      <c r="D70" t="s">
        <v>61</v>
      </c>
      <c r="N70">
        <v>0.5</v>
      </c>
      <c r="O70" t="str">
        <f>Nutriëntenbeheer!D18</f>
        <v>Ja</v>
      </c>
      <c r="P70" t="s">
        <v>410</v>
      </c>
      <c r="Q70" t="str">
        <f t="shared" si="0"/>
        <v xml:space="preserve">Het fractioneren van de kaliumgiften is zeer belangrijk. Kalium spoelt vrij gemakkelijk uit en moet het hele groeiseizoen goed beschikbaar zijn. </v>
      </c>
    </row>
    <row r="71" spans="1:17" s="11" customFormat="1" x14ac:dyDescent="0.3">
      <c r="B71" s="11" t="s">
        <v>115</v>
      </c>
      <c r="C71" s="11">
        <f>N70</f>
        <v>0.5</v>
      </c>
      <c r="D71" s="11">
        <v>0</v>
      </c>
      <c r="Q71" s="11" t="str">
        <f t="shared" si="0"/>
        <v/>
      </c>
    </row>
    <row r="72" spans="1:17" x14ac:dyDescent="0.3">
      <c r="A72" t="s">
        <v>57</v>
      </c>
      <c r="B72" t="s">
        <v>115</v>
      </c>
      <c r="C72" t="s">
        <v>24</v>
      </c>
      <c r="D72" t="s">
        <v>61</v>
      </c>
      <c r="N72">
        <v>0.5</v>
      </c>
      <c r="O72" t="str">
        <f>Nutriëntenbeheer!D19</f>
        <v>Ja</v>
      </c>
      <c r="P72" t="s">
        <v>163</v>
      </c>
      <c r="Q72" t="str">
        <f t="shared" si="0"/>
        <v xml:space="preserve">Bij lagere temperaturen in het voorjaar is zwavel niet goed beschikbaar voor het gras, zelfs wanneer er nog voldoende aanwezig is in de bodem. Gras heeft echter dan ook al voldoende zwavel nodig om optimaal te groeien en eiwitten aan te maken. </v>
      </c>
    </row>
    <row r="73" spans="1:17" s="11" customFormat="1" x14ac:dyDescent="0.3">
      <c r="B73" s="11" t="s">
        <v>115</v>
      </c>
      <c r="C73" s="11">
        <f>N72</f>
        <v>0.5</v>
      </c>
      <c r="D73" s="11">
        <v>0</v>
      </c>
      <c r="Q73" s="11" t="str">
        <f t="shared" ref="Q73:Q138" si="2">IF(OR(O73="Nee",O73="",P73=""),"",P73)</f>
        <v/>
      </c>
    </row>
    <row r="74" spans="1:17" x14ac:dyDescent="0.3">
      <c r="A74" t="s">
        <v>58</v>
      </c>
      <c r="B74" t="s">
        <v>115</v>
      </c>
      <c r="C74" t="s">
        <v>24</v>
      </c>
      <c r="D74" t="s">
        <v>61</v>
      </c>
      <c r="N74">
        <v>1</v>
      </c>
      <c r="O74" t="str">
        <f>Nutriëntenbeheer!D20</f>
        <v>Ja</v>
      </c>
      <c r="P74" t="s">
        <v>411</v>
      </c>
      <c r="Q74" t="str">
        <f t="shared" si="2"/>
        <v xml:space="preserve">Natuurlijk is het weer ook bij de bemesting van belang. Wanneer het langere tijd droog is heeft het weinig zin om te bemesten. Drijfmest vormt een gedroogde koek, die soms deels omhoog groeit met het gras wat tot bevuiling van de snede kan leiden. Maar ook kunstmest zal weinig beschikbaar komen voor het gewas. Bij extreme neerslag kan er juist afspoeling worden verwacht en een te nat perceel kan best niet worden bereden om verdichting en insporing te voorkomen. </v>
      </c>
    </row>
    <row r="75" spans="1:17" s="11" customFormat="1" x14ac:dyDescent="0.3">
      <c r="B75" s="11" t="s">
        <v>115</v>
      </c>
      <c r="C75" s="11">
        <f>N74</f>
        <v>1</v>
      </c>
      <c r="D75" s="11">
        <v>0</v>
      </c>
      <c r="Q75" s="11" t="str">
        <f t="shared" si="2"/>
        <v/>
      </c>
    </row>
    <row r="76" spans="1:17" s="5" customFormat="1" x14ac:dyDescent="0.3">
      <c r="A76" s="5" t="s">
        <v>164</v>
      </c>
      <c r="B76" s="5" t="s">
        <v>115</v>
      </c>
      <c r="C76" s="5" t="s">
        <v>24</v>
      </c>
      <c r="D76" s="5" t="s">
        <v>61</v>
      </c>
      <c r="N76" s="5">
        <v>0.5</v>
      </c>
      <c r="O76" s="5" t="str">
        <f>Nutriëntenbeheer!D21</f>
        <v>Ja</v>
      </c>
      <c r="P76" s="5" t="s">
        <v>165</v>
      </c>
      <c r="Q76" s="5" t="str">
        <f t="shared" si="2"/>
        <v xml:space="preserve">De behoefte van grasklaver, graskruiden en conventioneel grasland zijn niet volledig hetzelfde. Denk zo maar aan de capaciteit van klavers om stikstof te fixeren, terwijl gras minder strenge eisen stelt aan de pH van de bodem. </v>
      </c>
    </row>
    <row r="77" spans="1:17" s="11" customFormat="1" x14ac:dyDescent="0.3">
      <c r="B77" s="11" t="s">
        <v>115</v>
      </c>
      <c r="C77" s="11">
        <f>N76</f>
        <v>0.5</v>
      </c>
      <c r="D77" s="11">
        <v>0</v>
      </c>
      <c r="Q77" s="11" t="str">
        <f t="shared" si="2"/>
        <v/>
      </c>
    </row>
    <row r="78" spans="1:17" x14ac:dyDescent="0.3">
      <c r="A78" t="s">
        <v>60</v>
      </c>
      <c r="B78" t="s">
        <v>115</v>
      </c>
      <c r="C78" t="s">
        <v>24</v>
      </c>
      <c r="D78" t="s">
        <v>61</v>
      </c>
      <c r="N78">
        <v>0.5</v>
      </c>
      <c r="O78" t="str">
        <f>Nutriëntenbeheer!D22</f>
        <v>Ja</v>
      </c>
      <c r="P78" t="s">
        <v>166</v>
      </c>
      <c r="Q78" t="str">
        <f t="shared" si="2"/>
        <v xml:space="preserve">Bij een recent ingezaaid perceel, wordt berijding met al te zware machines liefst zo veel mogelijk vermeden. Houdt hier dus ook rekening mee bij het bemesten. </v>
      </c>
    </row>
    <row r="79" spans="1:17" s="11" customFormat="1" x14ac:dyDescent="0.3">
      <c r="B79" s="11" t="s">
        <v>115</v>
      </c>
      <c r="C79" s="11">
        <f>N78</f>
        <v>0.5</v>
      </c>
      <c r="D79" s="11">
        <v>0</v>
      </c>
      <c r="Q79" s="11" t="str">
        <f t="shared" si="2"/>
        <v/>
      </c>
    </row>
    <row r="80" spans="1:17" x14ac:dyDescent="0.3">
      <c r="A80" t="s">
        <v>62</v>
      </c>
      <c r="B80" t="s">
        <v>115</v>
      </c>
      <c r="C80" t="s">
        <v>24</v>
      </c>
      <c r="D80" t="s">
        <v>61</v>
      </c>
      <c r="N80">
        <v>0.5</v>
      </c>
      <c r="O80" t="str">
        <f>Nutriëntenbeheer!D23</f>
        <v>Ja</v>
      </c>
      <c r="P80" t="s">
        <v>167</v>
      </c>
      <c r="Q80" t="str">
        <f t="shared" si="2"/>
        <v xml:space="preserve">Er worden heel wat voordelen toegekend aan het verdunnen van drijfmest, die dit het overwegen waard maken. Enkele zijn: minder besmeuring van het gras, meer grasopbrengst, minder ammoniakemissie, minder verbranding, betere indringing enzovoort. Natuurlijk is er wel steeds een correcte mestanalyse nodig en zal er eveneens meer m³ uitgereden moeten worden. </v>
      </c>
    </row>
    <row r="81" spans="1:17" s="11" customFormat="1" x14ac:dyDescent="0.3">
      <c r="B81" s="11" t="s">
        <v>115</v>
      </c>
      <c r="C81" s="11">
        <f>N80</f>
        <v>0.5</v>
      </c>
      <c r="D81" s="11">
        <v>0</v>
      </c>
      <c r="Q81" s="11" t="str">
        <f t="shared" si="2"/>
        <v/>
      </c>
    </row>
    <row r="82" spans="1:17" x14ac:dyDescent="0.3">
      <c r="A82" t="s">
        <v>63</v>
      </c>
      <c r="B82" t="s">
        <v>115</v>
      </c>
      <c r="C82" t="s">
        <v>24</v>
      </c>
      <c r="D82" t="s">
        <v>61</v>
      </c>
      <c r="N82">
        <v>0.5</v>
      </c>
      <c r="O82" t="str">
        <f>Nutriëntenbeheer!D24</f>
        <v>Ja</v>
      </c>
      <c r="P82" t="s">
        <v>412</v>
      </c>
      <c r="Q82" t="str">
        <f>IF(OR(O82="Nee",O82="",P82=""),"",P82)</f>
        <v xml:space="preserve">Gras doet aan luxeconsumptie van stikstof en kalium. Wat maakt dat de giften van deze nutriënten best worden gefractioneerd en afgestemd op de verwachte opbrengst, om zo efficiënt mogelijk te bemesten. </v>
      </c>
    </row>
    <row r="83" spans="1:17" s="11" customFormat="1" x14ac:dyDescent="0.3">
      <c r="B83" s="11" t="s">
        <v>115</v>
      </c>
      <c r="C83" s="11">
        <f>N82</f>
        <v>0.5</v>
      </c>
      <c r="D83" s="11">
        <v>0</v>
      </c>
      <c r="Q83" s="11" t="str">
        <f t="shared" si="2"/>
        <v/>
      </c>
    </row>
    <row r="84" spans="1:17" x14ac:dyDescent="0.3">
      <c r="A84" t="s">
        <v>64</v>
      </c>
      <c r="B84" t="s">
        <v>128</v>
      </c>
      <c r="C84" t="s">
        <v>65</v>
      </c>
      <c r="D84" t="s">
        <v>168</v>
      </c>
      <c r="E84" t="s">
        <v>169</v>
      </c>
      <c r="F84" t="s">
        <v>170</v>
      </c>
      <c r="N84">
        <v>1</v>
      </c>
      <c r="O84" t="str">
        <f>Nutriëntenbeheer!D25</f>
        <v>Nee</v>
      </c>
      <c r="P84" t="s">
        <v>413</v>
      </c>
      <c r="Q84" t="str">
        <f>IF(OR(O84="Nee",O84="",P84=""),"",P84)</f>
        <v/>
      </c>
    </row>
    <row r="85" spans="1:17" s="11" customFormat="1" x14ac:dyDescent="0.3">
      <c r="B85" s="11" t="s">
        <v>128</v>
      </c>
      <c r="C85" s="11">
        <f>N84</f>
        <v>1</v>
      </c>
      <c r="D85" s="11">
        <f>N84</f>
        <v>1</v>
      </c>
      <c r="E85" s="11">
        <f>N84/2</f>
        <v>0.5</v>
      </c>
      <c r="F85" s="11">
        <f>N84/4</f>
        <v>0.25</v>
      </c>
      <c r="Q85" s="11" t="str">
        <f t="shared" si="2"/>
        <v/>
      </c>
    </row>
    <row r="86" spans="1:17" x14ac:dyDescent="0.3">
      <c r="A86" s="4" t="s">
        <v>66</v>
      </c>
      <c r="B86" s="24" t="s">
        <v>155</v>
      </c>
      <c r="C86" t="s">
        <v>457</v>
      </c>
      <c r="D86" t="s">
        <v>456</v>
      </c>
      <c r="G86" t="s">
        <v>458</v>
      </c>
      <c r="H86" t="s">
        <v>459</v>
      </c>
      <c r="J86" t="str">
        <f>_xlfn.CONCAT("Voor grasmengsels waarin geen vlinderbloemigen zoals klavers zijn opgenomen, zou een bemesting van ",C87," kg stikstof voldoende moeten zijn om goede kwaliteit en opbrengst te behalen. Hogere bemestingen zorgen verhoudingsgewijs meestal slechts voor kleine meeropbrengsten, terwijl N-verliezen vaak juist toenemen.")</f>
        <v>Voor grasmengsels waarin geen vlinderbloemigen zoals klavers zijn opgenomen, zou een bemesting van 350 kg stikstof voldoende moeten zijn om goede kwaliteit en opbrengst te behalen. Hogere bemestingen zorgen verhoudingsgewijs meestal slechts voor kleine meeropbrengsten, terwijl N-verliezen vaak juist toenemen.</v>
      </c>
      <c r="O86" t="str">
        <f>IF(H87&lt;Nutriëntenbeheer!B26,"Ja","Nee")</f>
        <v>Nee</v>
      </c>
      <c r="P86" t="str">
        <f>IF(G87="Ja",J87,J86)</f>
        <v>Voor grasmengsels waarin geen vlinderbloemigen zoals klavers zijn opgenomen, zou een bemesting van 350 kg stikstof voldoende moeten zijn om goede kwaliteit en opbrengst te behalen. Hogere bemestingen zorgen verhoudingsgewijs meestal slechts voor kleine meeropbrengsten, terwijl N-verliezen vaak juist toenemen.</v>
      </c>
      <c r="Q86" t="str">
        <f>IF(OR(O86="Nee",O86="",P86=""),"",P86)</f>
        <v/>
      </c>
    </row>
    <row r="87" spans="1:17" x14ac:dyDescent="0.3">
      <c r="A87" s="4"/>
      <c r="B87" s="11" t="s">
        <v>155</v>
      </c>
      <c r="C87">
        <v>350</v>
      </c>
      <c r="D87">
        <v>220</v>
      </c>
      <c r="G87" t="str">
        <f>IF(OR(Zaai!B4=TRUE,Zaai!B5=TRUE,Zaai!B6=TRUE),"Ja","Nee")</f>
        <v>Nee</v>
      </c>
      <c r="H87">
        <f>IF(G87="Ja",D87,C87)</f>
        <v>350</v>
      </c>
      <c r="J87" t="str">
        <f>_xlfn.CONCAT("Voor grasmengsels waarin voldoende vlinderbloemigen zoals klavers zijn opgenomen, zou een bemesting van ",H87," kg stikstof voldoende moeten zijn. Door nog meer te bemesten zal het positieve effect van de stikstoffixatie niet tot zijn recht komen, en nemen de kosten voor kunstmest enkel toe.")</f>
        <v>Voor grasmengsels waarin voldoende vlinderbloemigen zoals klavers zijn opgenomen, zou een bemesting van 350 kg stikstof voldoende moeten zijn. Door nog meer te bemesten zal het positieve effect van de stikstoffixatie niet tot zijn recht komen, en nemen de kosten voor kunstmest enkel toe.</v>
      </c>
      <c r="Q87" s="11"/>
    </row>
    <row r="88" spans="1:17" s="24" customFormat="1" x14ac:dyDescent="0.3">
      <c r="A88" s="24" t="s">
        <v>446</v>
      </c>
      <c r="B88" s="24" t="s">
        <v>155</v>
      </c>
      <c r="C88" s="24">
        <v>100</v>
      </c>
      <c r="O88" s="24" t="str">
        <f>IF(Nutriëntenbeheer!B27&lt;Scoring!C88,"Ja","Nee")</f>
        <v>Ja</v>
      </c>
      <c r="P88" s="24" t="s">
        <v>448</v>
      </c>
      <c r="Q88" t="str">
        <f>IF(OR(O88="Nee",O88="",P88=""),"",P88)</f>
        <v>Je NUE (= Nitrogen Use Efficiency) of bruto stikstofefficiëntie ligt lager dan 100%. Dit betekend dat niet alle stikstof, beschikbaar door bemesting, succesvol werd ingebouwd in en geoogst in de vorm van graseiwit. Voor traditioneel grasland liggen deze waardes meestal ook lager dan 100% door o.a. N-uitspoeling, oogstverliezen, conserveringsverliezen, ... . Door je graslandbeheer te optimaliseren kan dit percentage verder verhoogd worden. Vlinderbloemigen zoals klaver in je grasmengsels op nemen, kan zelf resulteren in NUE-percentages hoger dan 100%, door de extra stikstof beschikbaar gemaakt via stikstoffixatie.</v>
      </c>
    </row>
    <row r="89" spans="1:17" s="11" customFormat="1" x14ac:dyDescent="0.3">
      <c r="B89" s="11" t="s">
        <v>155</v>
      </c>
      <c r="Q89" s="11" t="str">
        <f t="shared" si="2"/>
        <v/>
      </c>
    </row>
    <row r="90" spans="1:17" s="5" customFormat="1" x14ac:dyDescent="0.3">
      <c r="A90" s="9" t="s">
        <v>171</v>
      </c>
      <c r="N90" s="5">
        <f>SUM(N35:N89)</f>
        <v>16.75</v>
      </c>
      <c r="P90" s="5" t="e">
        <f>_xlfn.CONCAT(P35:P89)</f>
        <v>#N/A</v>
      </c>
      <c r="Q90" s="5" t="e">
        <f>_xlfn.CONCAT(Q35:Q89)</f>
        <v>#N/A</v>
      </c>
    </row>
    <row r="91" spans="1:17" s="15" customFormat="1" ht="15" thickBot="1" x14ac:dyDescent="0.35">
      <c r="A91" s="21" t="s">
        <v>172</v>
      </c>
      <c r="N91" s="15">
        <f>SUM(N78:N89,N35:N75)</f>
        <v>16.25</v>
      </c>
      <c r="P91" s="15" t="e">
        <f>_xlfn.CONCAT(P35:P75,P78:P89)</f>
        <v>#N/A</v>
      </c>
      <c r="Q91" s="15" t="e">
        <f>_xlfn.CONCAT(Q35:Q75,Q78:Q89)</f>
        <v>#N/A</v>
      </c>
    </row>
    <row r="92" spans="1:17" x14ac:dyDescent="0.3">
      <c r="A92" s="3"/>
      <c r="Q92" t="str">
        <f t="shared" si="2"/>
        <v/>
      </c>
    </row>
    <row r="93" spans="1:17" s="11" customFormat="1" x14ac:dyDescent="0.3">
      <c r="A93" s="12" t="s">
        <v>108</v>
      </c>
      <c r="B93" s="12" t="s">
        <v>110</v>
      </c>
      <c r="C93" s="12" t="s">
        <v>111</v>
      </c>
      <c r="N93" s="12" t="s">
        <v>112</v>
      </c>
      <c r="O93" s="12" t="s">
        <v>21</v>
      </c>
      <c r="P93" s="12" t="s">
        <v>113</v>
      </c>
      <c r="Q93" s="12" t="s">
        <v>114</v>
      </c>
    </row>
    <row r="94" spans="1:17" x14ac:dyDescent="0.3">
      <c r="A94" t="s">
        <v>173</v>
      </c>
      <c r="B94" t="s">
        <v>115</v>
      </c>
      <c r="C94" t="s">
        <v>24</v>
      </c>
      <c r="D94" t="s">
        <v>61</v>
      </c>
      <c r="N94">
        <v>1</v>
      </c>
      <c r="O94" t="str">
        <f>Oogst!E2</f>
        <v>Ja</v>
      </c>
      <c r="P94" t="s">
        <v>429</v>
      </c>
      <c r="Q94" t="str">
        <f t="shared" si="2"/>
        <v>Zorg steeds dat de messen voldoende scherp zijn. Hierdoor zal het gras beter doorgesneden en minder kapotgeslagen worden, en zal ook het brandstofverbruik lager zijn.</v>
      </c>
    </row>
    <row r="95" spans="1:17" s="11" customFormat="1" x14ac:dyDescent="0.3">
      <c r="A95" s="12"/>
      <c r="B95" s="11" t="s">
        <v>115</v>
      </c>
      <c r="C95" s="11">
        <f>N94</f>
        <v>1</v>
      </c>
      <c r="D95" s="11">
        <v>0</v>
      </c>
      <c r="N95" s="12"/>
      <c r="O95" s="12"/>
      <c r="Q95" s="11" t="str">
        <f t="shared" si="2"/>
        <v/>
      </c>
    </row>
    <row r="96" spans="1:17" x14ac:dyDescent="0.3">
      <c r="A96" t="s">
        <v>174</v>
      </c>
      <c r="B96" t="s">
        <v>117</v>
      </c>
      <c r="Q96" t="str">
        <f t="shared" si="2"/>
        <v/>
      </c>
    </row>
    <row r="97" spans="1:17" x14ac:dyDescent="0.3">
      <c r="A97" s="2" t="s">
        <v>175</v>
      </c>
      <c r="B97" t="s">
        <v>117</v>
      </c>
      <c r="C97" t="b">
        <v>1</v>
      </c>
      <c r="D97" t="b">
        <v>0</v>
      </c>
      <c r="N97">
        <f>1/3</f>
        <v>0.33333333333333331</v>
      </c>
      <c r="O97" t="str">
        <f>Oogst!E4</f>
        <v>Ja</v>
      </c>
      <c r="P97" t="s">
        <v>430</v>
      </c>
      <c r="Q97" t="str">
        <f t="shared" si="2"/>
        <v>Best wordt er vermeden dat er neerslag valt tijdens de veldperiode, check dus steeds de weersvoorspelling alvorens je beslist te maaien.</v>
      </c>
    </row>
    <row r="98" spans="1:17" x14ac:dyDescent="0.3">
      <c r="A98" s="2"/>
      <c r="B98" t="s">
        <v>117</v>
      </c>
      <c r="C98">
        <f>N97</f>
        <v>0.33333333333333331</v>
      </c>
      <c r="D98">
        <v>0</v>
      </c>
      <c r="Q98" t="str">
        <f t="shared" si="2"/>
        <v/>
      </c>
    </row>
    <row r="99" spans="1:17" x14ac:dyDescent="0.3">
      <c r="A99" s="2" t="s">
        <v>176</v>
      </c>
      <c r="B99" t="s">
        <v>117</v>
      </c>
      <c r="C99" t="b">
        <v>1</v>
      </c>
      <c r="D99" t="b">
        <v>0</v>
      </c>
      <c r="N99">
        <f>1/3</f>
        <v>0.33333333333333331</v>
      </c>
      <c r="O99" t="str">
        <f>Oogst!E5</f>
        <v>Ja</v>
      </c>
      <c r="P99" t="s">
        <v>431</v>
      </c>
      <c r="Q99" t="str">
        <f t="shared" si="2"/>
        <v>Wanneer er reeds een mooie snede op staat, wacht je best niet te lang met maaien. Bij een te zware snede is de hergroei vaak minder goed.</v>
      </c>
    </row>
    <row r="100" spans="1:17" x14ac:dyDescent="0.3">
      <c r="A100" s="2"/>
      <c r="B100" t="s">
        <v>117</v>
      </c>
      <c r="C100">
        <f>N99</f>
        <v>0.33333333333333331</v>
      </c>
      <c r="D100">
        <v>0</v>
      </c>
      <c r="Q100" t="str">
        <f t="shared" si="2"/>
        <v/>
      </c>
    </row>
    <row r="101" spans="1:17" x14ac:dyDescent="0.3">
      <c r="A101" s="2" t="s">
        <v>177</v>
      </c>
      <c r="B101" t="s">
        <v>117</v>
      </c>
      <c r="C101" t="b">
        <v>1</v>
      </c>
      <c r="D101" t="b">
        <v>0</v>
      </c>
      <c r="N101">
        <f>1/3</f>
        <v>0.33333333333333331</v>
      </c>
      <c r="O101" t="str">
        <f>Oogst!E6</f>
        <v>Ja</v>
      </c>
      <c r="P101" t="s">
        <v>432</v>
      </c>
      <c r="Q101" t="str">
        <f t="shared" si="2"/>
        <v>Aarvorming in het gras gaat gepaard met een lagere voederwaarde. Wacht daarom niet te lang met maaien zodra je aarvorming waarneemt.</v>
      </c>
    </row>
    <row r="102" spans="1:17" s="11" customFormat="1" x14ac:dyDescent="0.3">
      <c r="B102" s="11" t="s">
        <v>117</v>
      </c>
      <c r="C102" s="11">
        <f>N101</f>
        <v>0.33333333333333331</v>
      </c>
      <c r="D102" s="11">
        <v>0</v>
      </c>
      <c r="Q102" s="11" t="str">
        <f t="shared" si="2"/>
        <v/>
      </c>
    </row>
    <row r="103" spans="1:17" x14ac:dyDescent="0.3">
      <c r="A103" t="s">
        <v>178</v>
      </c>
      <c r="B103" t="s">
        <v>128</v>
      </c>
      <c r="C103" t="s">
        <v>179</v>
      </c>
      <c r="D103" t="s">
        <v>180</v>
      </c>
      <c r="E103" t="s">
        <v>181</v>
      </c>
      <c r="F103" t="s">
        <v>182</v>
      </c>
      <c r="G103" t="s">
        <v>183</v>
      </c>
      <c r="N103">
        <v>1</v>
      </c>
      <c r="O103" t="e">
        <f>Oogst!E7</f>
        <v>#N/A</v>
      </c>
      <c r="P103" t="s">
        <v>414</v>
      </c>
      <c r="Q103" t="e">
        <f t="shared" si="2"/>
        <v>#N/A</v>
      </c>
    </row>
    <row r="104" spans="1:17" s="11" customFormat="1" x14ac:dyDescent="0.3">
      <c r="B104" s="11" t="s">
        <v>128</v>
      </c>
      <c r="C104" s="11">
        <v>0</v>
      </c>
      <c r="D104" s="11">
        <v>0</v>
      </c>
      <c r="E104" s="11">
        <f>N103</f>
        <v>1</v>
      </c>
      <c r="F104" s="11">
        <f>N103</f>
        <v>1</v>
      </c>
      <c r="G104" s="11">
        <f>N103</f>
        <v>1</v>
      </c>
      <c r="Q104" s="11" t="str">
        <f t="shared" si="2"/>
        <v/>
      </c>
    </row>
    <row r="105" spans="1:17" x14ac:dyDescent="0.3">
      <c r="A105" t="s">
        <v>184</v>
      </c>
      <c r="B105" t="s">
        <v>128</v>
      </c>
      <c r="C105" t="s">
        <v>185</v>
      </c>
      <c r="D105" t="s">
        <v>186</v>
      </c>
      <c r="E105" t="s">
        <v>187</v>
      </c>
      <c r="F105" t="s">
        <v>188</v>
      </c>
      <c r="G105" t="s">
        <v>189</v>
      </c>
      <c r="H105" t="s">
        <v>190</v>
      </c>
      <c r="N105">
        <v>1</v>
      </c>
      <c r="O105" t="e">
        <f>Oogst!E8</f>
        <v>#N/A</v>
      </c>
      <c r="P105" t="s">
        <v>191</v>
      </c>
      <c r="Q105" t="e">
        <f t="shared" si="2"/>
        <v>#N/A</v>
      </c>
    </row>
    <row r="106" spans="1:17" s="11" customFormat="1" x14ac:dyDescent="0.3">
      <c r="B106" s="11" t="s">
        <v>128</v>
      </c>
      <c r="C106" s="11">
        <v>0</v>
      </c>
      <c r="D106" s="11">
        <f>N105/2</f>
        <v>0.5</v>
      </c>
      <c r="E106" s="11">
        <f>N105</f>
        <v>1</v>
      </c>
      <c r="F106" s="11">
        <f>N105</f>
        <v>1</v>
      </c>
      <c r="G106" s="11">
        <f>N105</f>
        <v>1</v>
      </c>
      <c r="H106" s="11">
        <f>N105</f>
        <v>1</v>
      </c>
      <c r="Q106" s="11" t="str">
        <f t="shared" si="2"/>
        <v/>
      </c>
    </row>
    <row r="107" spans="1:17" s="5" customFormat="1" x14ac:dyDescent="0.3">
      <c r="A107" s="5" t="s">
        <v>192</v>
      </c>
      <c r="B107" s="5" t="s">
        <v>115</v>
      </c>
      <c r="C107" s="5" t="s">
        <v>24</v>
      </c>
      <c r="D107" s="5" t="s">
        <v>61</v>
      </c>
      <c r="N107" s="5">
        <v>1</v>
      </c>
      <c r="O107" s="5" t="str">
        <f>Oogst!E9</f>
        <v>Ja</v>
      </c>
      <c r="P107" s="5" t="s">
        <v>193</v>
      </c>
      <c r="Q107" s="5" t="str">
        <f t="shared" si="2"/>
        <v xml:space="preserve">Rode klaver en verschillende kruiden worden best nog hoger gemaaid dan het engelse raaigras. Hou eerder 8 - 10 cm aan zodat deze klavers en kruiden voldoende in de zode blijven. </v>
      </c>
    </row>
    <row r="108" spans="1:17" s="11" customFormat="1" x14ac:dyDescent="0.3">
      <c r="B108" s="11" t="s">
        <v>115</v>
      </c>
      <c r="C108" s="11">
        <f>N107</f>
        <v>1</v>
      </c>
      <c r="D108" s="11">
        <v>0</v>
      </c>
      <c r="Q108" s="11" t="str">
        <f t="shared" si="2"/>
        <v/>
      </c>
    </row>
    <row r="109" spans="1:17" x14ac:dyDescent="0.3">
      <c r="A109" t="s">
        <v>194</v>
      </c>
      <c r="B109" t="s">
        <v>115</v>
      </c>
      <c r="C109" t="s">
        <v>24</v>
      </c>
      <c r="D109" t="s">
        <v>61</v>
      </c>
      <c r="N109">
        <v>1</v>
      </c>
      <c r="O109" t="e">
        <f>Oogst!E10</f>
        <v>#N/A</v>
      </c>
      <c r="P109" t="s">
        <v>195</v>
      </c>
      <c r="Q109" t="e">
        <f t="shared" si="2"/>
        <v>#N/A</v>
      </c>
    </row>
    <row r="110" spans="1:17" s="11" customFormat="1" x14ac:dyDescent="0.3">
      <c r="B110" s="11" t="s">
        <v>115</v>
      </c>
      <c r="C110" s="11">
        <v>0</v>
      </c>
      <c r="D110" s="11">
        <f>N109</f>
        <v>1</v>
      </c>
      <c r="Q110" s="11" t="str">
        <f t="shared" si="2"/>
        <v/>
      </c>
    </row>
    <row r="111" spans="1:17" s="5" customFormat="1" x14ac:dyDescent="0.3">
      <c r="A111" s="5" t="s">
        <v>196</v>
      </c>
      <c r="B111" s="5" t="s">
        <v>115</v>
      </c>
      <c r="C111" s="5" t="s">
        <v>24</v>
      </c>
      <c r="D111" s="5" t="s">
        <v>61</v>
      </c>
      <c r="N111" s="5">
        <v>1</v>
      </c>
      <c r="O111" s="5" t="str">
        <f>Oogst!E11</f>
        <v>Ja</v>
      </c>
      <c r="P111" s="5" t="s">
        <v>197</v>
      </c>
      <c r="Q111" s="5" t="str">
        <f t="shared" si="2"/>
        <v xml:space="preserve">Bladverlies kan je best zo veel mogelijk voorkomen. Hierdoor gaat dan ook veel eiwit verloren. Minder schudden en aan een lager toerental kan helpen. Eveneens kan werken met een bandhark helpen bladverliezen te verlagen. </v>
      </c>
    </row>
    <row r="112" spans="1:17" s="11" customFormat="1" x14ac:dyDescent="0.3">
      <c r="B112" s="11" t="s">
        <v>115</v>
      </c>
      <c r="C112" s="11">
        <f>N111</f>
        <v>1</v>
      </c>
      <c r="D112" s="11">
        <v>0</v>
      </c>
      <c r="Q112" s="11" t="str">
        <f t="shared" si="2"/>
        <v/>
      </c>
    </row>
    <row r="113" spans="1:17" x14ac:dyDescent="0.3">
      <c r="A113" t="s">
        <v>198</v>
      </c>
      <c r="B113" t="s">
        <v>128</v>
      </c>
      <c r="C113" t="s">
        <v>199</v>
      </c>
      <c r="D113" t="s">
        <v>200</v>
      </c>
      <c r="E113" t="s">
        <v>201</v>
      </c>
      <c r="F113" t="s">
        <v>202</v>
      </c>
      <c r="G113" t="s">
        <v>203</v>
      </c>
      <c r="N113">
        <v>1</v>
      </c>
      <c r="O113" t="e">
        <f>Oogst!E12</f>
        <v>#N/A</v>
      </c>
      <c r="P113" t="s">
        <v>204</v>
      </c>
      <c r="Q113" t="e">
        <f t="shared" si="2"/>
        <v>#N/A</v>
      </c>
    </row>
    <row r="114" spans="1:17" s="11" customFormat="1" x14ac:dyDescent="0.3">
      <c r="B114" s="11" t="s">
        <v>128</v>
      </c>
      <c r="C114" s="11">
        <f>N113</f>
        <v>1</v>
      </c>
      <c r="D114" s="11">
        <f>N113</f>
        <v>1</v>
      </c>
      <c r="E114" s="11">
        <f>N113</f>
        <v>1</v>
      </c>
      <c r="F114" s="11">
        <v>0</v>
      </c>
      <c r="G114" s="11">
        <v>0</v>
      </c>
      <c r="Q114" s="11" t="str">
        <f t="shared" si="2"/>
        <v/>
      </c>
    </row>
    <row r="115" spans="1:17" x14ac:dyDescent="0.3">
      <c r="A115" t="s">
        <v>205</v>
      </c>
      <c r="B115" t="s">
        <v>128</v>
      </c>
      <c r="C115" t="s">
        <v>206</v>
      </c>
      <c r="D115" t="s">
        <v>207</v>
      </c>
      <c r="E115" t="s">
        <v>208</v>
      </c>
      <c r="F115" t="s">
        <v>209</v>
      </c>
      <c r="G115" t="s">
        <v>210</v>
      </c>
      <c r="H115" t="s">
        <v>211</v>
      </c>
      <c r="I115" t="s">
        <v>212</v>
      </c>
      <c r="N115">
        <v>1</v>
      </c>
      <c r="O115" t="e">
        <f>Oogst!E13</f>
        <v>#N/A</v>
      </c>
      <c r="P115" t="s">
        <v>415</v>
      </c>
      <c r="Q115" t="e">
        <f t="shared" si="2"/>
        <v>#N/A</v>
      </c>
    </row>
    <row r="116" spans="1:17" s="11" customFormat="1" x14ac:dyDescent="0.3">
      <c r="B116" s="11" t="s">
        <v>128</v>
      </c>
      <c r="C116" s="11">
        <v>0</v>
      </c>
      <c r="D116" s="11">
        <v>0</v>
      </c>
      <c r="E116" s="11">
        <f>N115</f>
        <v>1</v>
      </c>
      <c r="F116" s="11">
        <f>N115</f>
        <v>1</v>
      </c>
      <c r="G116" s="11">
        <v>0</v>
      </c>
      <c r="H116" s="11">
        <v>0</v>
      </c>
      <c r="I116" s="11">
        <v>0</v>
      </c>
      <c r="Q116" s="11" t="str">
        <f t="shared" si="2"/>
        <v/>
      </c>
    </row>
    <row r="117" spans="1:17" x14ac:dyDescent="0.3">
      <c r="A117" t="s">
        <v>213</v>
      </c>
      <c r="B117" t="s">
        <v>155</v>
      </c>
      <c r="F117" t="s">
        <v>435</v>
      </c>
      <c r="G117">
        <v>5</v>
      </c>
      <c r="H117" t="s">
        <v>436</v>
      </c>
      <c r="O117" t="str">
        <f>IF(NOT(D118=""),"Ja","")</f>
        <v>Ja</v>
      </c>
      <c r="P117" t="str">
        <f>_xlfn.CONCAT(C118,D118,E118,I118)</f>
        <v xml:space="preserve">Je neemt nu 0 snedes per jaar. Afhankelijk van je doel, kan het interessanter zijn om iets frequenter te maaien. Zware snedes nemen kan ervoor zorgen dat nieuwe grasscheuten verstikken onder het oude gras wat kan leiden tot een meer open zode na maaien. Eveneens is de voederwaarde en het eiwitgehalte van wat jongere snedes gewoonlijk hoger. </v>
      </c>
      <c r="Q117" t="str">
        <f>IF(OR(O117="Nee",O117="",P117=""),"",P117)</f>
        <v xml:space="preserve">Je neemt nu 0 snedes per jaar. Afhankelijk van je doel, kan het interessanter zijn om iets frequenter te maaien. Zware snedes nemen kan ervoor zorgen dat nieuwe grasscheuten verstikken onder het oude gras wat kan leiden tot een meer open zode na maaien. Eveneens is de voederwaarde en het eiwitgehalte van wat jongere snedes gewoonlijk hoger. </v>
      </c>
    </row>
    <row r="118" spans="1:17" s="11" customFormat="1" x14ac:dyDescent="0.3">
      <c r="B118" s="11" t="s">
        <v>155</v>
      </c>
      <c r="C118" s="11" t="s">
        <v>437</v>
      </c>
      <c r="D118" s="11">
        <f>Oogst!B14</f>
        <v>0</v>
      </c>
      <c r="E118" s="11" t="s">
        <v>438</v>
      </c>
      <c r="F118" s="11" t="s">
        <v>439</v>
      </c>
      <c r="H118" s="11" t="s">
        <v>440</v>
      </c>
      <c r="I118" s="11" t="str">
        <f>IF(D118&lt;G117,F118,H118)</f>
        <v xml:space="preserve">Afhankelijk van je doel, kan het interessanter zijn om iets frequenter te maaien. Zware snedes nemen kan ervoor zorgen dat nieuwe grasscheuten verstikken onder het oude gras wat kan leiden tot een meer open zode na maaien. Eveneens is de voederwaarde en het eiwitgehalte van wat jongere snedes gewoonlijk hoger. </v>
      </c>
      <c r="Q118" s="11" t="str">
        <f t="shared" si="2"/>
        <v/>
      </c>
    </row>
    <row r="119" spans="1:17" x14ac:dyDescent="0.3">
      <c r="A119" t="s">
        <v>214</v>
      </c>
      <c r="B119" t="s">
        <v>155</v>
      </c>
      <c r="C119">
        <v>9000</v>
      </c>
      <c r="D119">
        <v>10499.999999</v>
      </c>
      <c r="O119" t="str">
        <f>IF(NOT(D120=""),"Ja","")</f>
        <v>Ja</v>
      </c>
      <c r="P119" t="str">
        <f>_xlfn.CONCAT(C120,D120,E120,I120)</f>
        <v xml:space="preserve">Met een DS-opbrengst van 0 kg/ha is er zeker nog potentieel om dit verder op te krikken met behulp van de gegeven adviezen. </v>
      </c>
      <c r="Q119" t="str">
        <f t="shared" si="2"/>
        <v xml:space="preserve">Met een DS-opbrengst van 0 kg/ha is er zeker nog potentieel om dit verder op te krikken met behulp van de gegeven adviezen. </v>
      </c>
    </row>
    <row r="120" spans="1:17" s="11" customFormat="1" x14ac:dyDescent="0.3">
      <c r="B120" s="11" t="s">
        <v>155</v>
      </c>
      <c r="C120" s="11" t="s">
        <v>441</v>
      </c>
      <c r="D120" s="11">
        <f>Oogst!B15</f>
        <v>0</v>
      </c>
      <c r="E120" s="11" t="s">
        <v>442</v>
      </c>
      <c r="F120" s="11" t="s">
        <v>443</v>
      </c>
      <c r="G120" s="11" t="s">
        <v>444</v>
      </c>
      <c r="H120" s="11" t="s">
        <v>445</v>
      </c>
      <c r="I120" s="11" t="str">
        <f>IF(D120&lt;C119,F120,IF(D120&lt;D119,G120,H120))</f>
        <v xml:space="preserve">is er zeker nog potentieel om dit verder op te krikken met behulp van de gegeven adviezen. </v>
      </c>
      <c r="Q120" s="11" t="str">
        <f t="shared" si="2"/>
        <v/>
      </c>
    </row>
    <row r="121" spans="1:17" s="5" customFormat="1" x14ac:dyDescent="0.3">
      <c r="A121" s="9" t="s">
        <v>215</v>
      </c>
      <c r="N121" s="5">
        <f>SUM(N94:N120)</f>
        <v>9</v>
      </c>
      <c r="P121" s="5" t="str">
        <f>_xlfn.CONCAT(P94:P120)</f>
        <v xml:space="preserve">Zorg steeds dat de messen voldoende scherp zijn. Hierdoor zal het gras beter doorgesneden en minder kapotgeslagen worden, en zal ook het brandstofverbruik lager zijn.Best wordt er vermeden dat er neerslag valt tijdens de veldperiode, check dus steeds de weersvoorspelling alvorens je beslist te maaien.Wanneer er reeds een mooie snede op staat, wacht je best niet te lang met maaien. Bij een te zware snede is de hergroei vaak minder goed.Aarvorming in het gras gaat gepaard met een lagere voederwaarde. Wacht daarom niet te lang met maaien zodra je aarvorming waarneemt.Er moet minstens 3 weken tussen de bemestingsbeurt en het maaimoment zitten. Dit zal de smakelijkheid van het gras ten goede komen en geeft het gras voldoende tijd om de stikstof op te nemen en om te zetten naar eiwit. Dieper maaien dan 6 cm heeft nadelen voor de hergroei van de zode. Enkel in zodes waarin men het aandeel witte klaver wil verhogen, kan maaien op 5 cm helpen. Rode klaver en verschillende kruiden worden best nog hoger gemaaid dan het engelse raaigras. Hou eerder 8 - 10 cm aan zodat deze klavers en kruiden voldoende in de zode blijven. Soms kan meer dan 1 keer schudden nodig zijn om de veldperiode te verkorten en het gras toch voldoende droog en uniform binnen te halen. Een extra schudbeurt kost echter extra arbeid en brandstof en verhoogt het risico op extra veldverliezen. Bladverlies kan je best zo veel mogelijk voorkomen. Hierdoor gaat dan ook veel eiwit verloren. Minder schudden en aan een lager toerental kan helpen. Eveneens kan werken met een bandhark helpen bladverliezen te verlagen. Best beperk je de veldperiode tot 2 dagen. Een langere veldperiode heeft een negatieve impact op de hergroei van de zode en zorgt ook voor een lagere voederwaarde. Idealiter wordt er ingekuild bij 35-45% DS. Natter inkuilen geeft teveel sapverliezen en bij droger inkuilen daalt de opname en is de kuil moeilijker aan te rijden wat het risico op broei doet toenemen. Wanneer de snedes eerder stengelig zijn, kuil je liefst iets natter in en bij bladrijke snedes juist wat droger. Je neemt nu 0 snedes per jaar. Afhankelijk van je doel, kan het interessanter zijn om iets frequenter te maaien. Zware snedes nemen kan ervoor zorgen dat nieuwe grasscheuten verstikken onder het oude gras wat kan leiden tot een meer open zode na maaien. Eveneens is de voederwaarde en het eiwitgehalte van wat jongere snedes gewoonlijk hoger. Met een DS-opbrengst van 0 kg/ha is er zeker nog potentieel om dit verder op te krikken met behulp van de gegeven adviezen. </v>
      </c>
      <c r="Q121" s="5" t="e">
        <f>_xlfn.CONCAT(Q94:Q120)</f>
        <v>#N/A</v>
      </c>
    </row>
    <row r="122" spans="1:17" s="15" customFormat="1" ht="15" thickBot="1" x14ac:dyDescent="0.35">
      <c r="A122" s="21" t="s">
        <v>216</v>
      </c>
      <c r="N122" s="15">
        <f>SUM(N94:N106,N109:N110,N113:N120)</f>
        <v>7</v>
      </c>
      <c r="P122" s="15" t="str">
        <f>_xlfn.CONCAT(P94:P106,P109:P110,P113:P120)</f>
        <v xml:space="preserve">Zorg steeds dat de messen voldoende scherp zijn. Hierdoor zal het gras beter doorgesneden en minder kapotgeslagen worden, en zal ook het brandstofverbruik lager zijn.Best wordt er vermeden dat er neerslag valt tijdens de veldperiode, check dus steeds de weersvoorspelling alvorens je beslist te maaien.Wanneer er reeds een mooie snede op staat, wacht je best niet te lang met maaien. Bij een te zware snede is de hergroei vaak minder goed.Aarvorming in het gras gaat gepaard met een lagere voederwaarde. Wacht daarom niet te lang met maaien zodra je aarvorming waarneemt.Er moet minstens 3 weken tussen de bemestingsbeurt en het maaimoment zitten. Dit zal de smakelijkheid van het gras ten goede komen en geeft het gras voldoende tijd om de stikstof op te nemen en om te zetten naar eiwit. Dieper maaien dan 6 cm heeft nadelen voor de hergroei van de zode. Enkel in zodes waarin men het aandeel witte klaver wil verhogen, kan maaien op 5 cm helpen. Soms kan meer dan 1 keer schudden nodig zijn om de veldperiode te verkorten en het gras toch voldoende droog en uniform binnen te halen. Een extra schudbeurt kost echter extra arbeid en brandstof en verhoogt het risico op extra veldverliezen. Best beperk je de veldperiode tot 2 dagen. Een langere veldperiode heeft een negatieve impact op de hergroei van de zode en zorgt ook voor een lagere voederwaarde. Idealiter wordt er ingekuild bij 35-45% DS. Natter inkuilen geeft teveel sapverliezen en bij droger inkuilen daalt de opname en is de kuil moeilijker aan te rijden wat het risico op broei doet toenemen. Wanneer de snedes eerder stengelig zijn, kuil je liefst iets natter in en bij bladrijke snedes juist wat droger. Je neemt nu 0 snedes per jaar. Afhankelijk van je doel, kan het interessanter zijn om iets frequenter te maaien. Zware snedes nemen kan ervoor zorgen dat nieuwe grasscheuten verstikken onder het oude gras wat kan leiden tot een meer open zode na maaien. Eveneens is de voederwaarde en het eiwitgehalte van wat jongere snedes gewoonlijk hoger. Met een DS-opbrengst van 0 kg/ha is er zeker nog potentieel om dit verder op te krikken met behulp van de gegeven adviezen. </v>
      </c>
      <c r="Q122" s="15" t="e">
        <f>_xlfn.CONCAT(Q94:Q106,Q109:Q110,Q113:Q120)</f>
        <v>#N/A</v>
      </c>
    </row>
    <row r="123" spans="1:17" x14ac:dyDescent="0.3">
      <c r="Q123" t="str">
        <f t="shared" si="2"/>
        <v/>
      </c>
    </row>
    <row r="124" spans="1:17" s="11" customFormat="1" x14ac:dyDescent="0.3">
      <c r="A124" s="12" t="s">
        <v>80</v>
      </c>
      <c r="B124" s="12" t="s">
        <v>110</v>
      </c>
      <c r="C124" s="12" t="s">
        <v>111</v>
      </c>
      <c r="N124" s="12" t="s">
        <v>112</v>
      </c>
      <c r="O124" s="12" t="s">
        <v>21</v>
      </c>
      <c r="P124" s="12" t="s">
        <v>113</v>
      </c>
      <c r="Q124" s="12" t="s">
        <v>114</v>
      </c>
    </row>
    <row r="125" spans="1:17" x14ac:dyDescent="0.3">
      <c r="A125" t="s">
        <v>217</v>
      </c>
      <c r="B125" t="s">
        <v>115</v>
      </c>
      <c r="C125" t="s">
        <v>24</v>
      </c>
      <c r="D125" t="s">
        <v>61</v>
      </c>
      <c r="N125">
        <v>1</v>
      </c>
      <c r="O125" t="str">
        <f>Weidegang!F2</f>
        <v>Ja</v>
      </c>
      <c r="P125" t="s">
        <v>218</v>
      </c>
      <c r="Q125" t="str">
        <f t="shared" si="2"/>
        <v xml:space="preserve">Spijtig dat je niet aan beweiding doet. Dit bied toch enkele voordelen zowel economisch als maatschappelijk gezien. Denk zo maar aan de hogere voederwaarde van vers gras, lagere voerkosten en het positieve effect op dierenwelzijn en het imago van de landbouw. Beweiding heeft echter een relatief grote impact op de bedrijfsvoering en is niet op ieder bedrijf even eenvoudig te implementeren. Bij bedrijven met een kleine huiskavel is dit al snel moeilijker. </v>
      </c>
    </row>
    <row r="126" spans="1:17" s="11" customFormat="1" x14ac:dyDescent="0.3">
      <c r="B126" s="11" t="s">
        <v>115</v>
      </c>
      <c r="C126" s="11">
        <f>N125</f>
        <v>1</v>
      </c>
      <c r="D126" s="11">
        <v>0</v>
      </c>
      <c r="Q126" s="11" t="str">
        <f t="shared" si="2"/>
        <v/>
      </c>
    </row>
    <row r="127" spans="1:17" x14ac:dyDescent="0.3">
      <c r="A127" t="s">
        <v>219</v>
      </c>
      <c r="B127" t="s">
        <v>117</v>
      </c>
      <c r="F127" t="s">
        <v>6</v>
      </c>
      <c r="Q127" t="str">
        <f t="shared" si="2"/>
        <v/>
      </c>
    </row>
    <row r="128" spans="1:17" x14ac:dyDescent="0.3">
      <c r="A128" s="2" t="str">
        <f>IFERROR(_xlfn.TEXTAFTER(Algemeen!A4,"Aantal ",1),"")</f>
        <v/>
      </c>
      <c r="B128" t="s">
        <v>117</v>
      </c>
      <c r="C128" t="b">
        <v>1</v>
      </c>
      <c r="D128" t="b">
        <v>0</v>
      </c>
      <c r="F128" t="str">
        <f>IF(Weidegang!B4,Algemeen!D4,"")</f>
        <v/>
      </c>
      <c r="N128">
        <v>0.25</v>
      </c>
      <c r="Q128" t="str">
        <f t="shared" si="2"/>
        <v/>
      </c>
    </row>
    <row r="129" spans="1:17" x14ac:dyDescent="0.3">
      <c r="A129" s="2"/>
      <c r="B129" t="s">
        <v>117</v>
      </c>
      <c r="C129">
        <f>N128</f>
        <v>0.25</v>
      </c>
      <c r="D129">
        <v>0</v>
      </c>
      <c r="Q129" t="str">
        <f t="shared" si="2"/>
        <v/>
      </c>
    </row>
    <row r="130" spans="1:17" x14ac:dyDescent="0.3">
      <c r="A130" s="2" t="str">
        <f>IFERROR(_xlfn.TEXTAFTER(Algemeen!A5,"Aantal ",1),"")</f>
        <v/>
      </c>
      <c r="B130" t="s">
        <v>117</v>
      </c>
      <c r="C130" t="b">
        <v>1</v>
      </c>
      <c r="D130" t="b">
        <v>0</v>
      </c>
      <c r="F130" t="str">
        <f>IF(Weidegang!B5,Algemeen!D5,"")</f>
        <v/>
      </c>
      <c r="N130">
        <v>0.25</v>
      </c>
      <c r="Q130" t="str">
        <f t="shared" si="2"/>
        <v/>
      </c>
    </row>
    <row r="131" spans="1:17" x14ac:dyDescent="0.3">
      <c r="A131" s="2"/>
      <c r="B131" t="s">
        <v>117</v>
      </c>
      <c r="C131">
        <f>N130</f>
        <v>0.25</v>
      </c>
      <c r="D131">
        <v>0</v>
      </c>
      <c r="Q131" t="str">
        <f t="shared" si="2"/>
        <v/>
      </c>
    </row>
    <row r="132" spans="1:17" x14ac:dyDescent="0.3">
      <c r="A132" s="2" t="str">
        <f>IFERROR(_xlfn.TEXTAFTER(Algemeen!A6,"Aantal ",1),"")</f>
        <v/>
      </c>
      <c r="B132" t="s">
        <v>117</v>
      </c>
      <c r="C132" t="b">
        <v>1</v>
      </c>
      <c r="D132" t="b">
        <v>0</v>
      </c>
      <c r="F132" t="str">
        <f>IF(Weidegang!B6,Algemeen!D6,"")</f>
        <v/>
      </c>
      <c r="N132">
        <v>0.25</v>
      </c>
      <c r="O132" t="str">
        <f>Weidegang!F6</f>
        <v>Ja</v>
      </c>
      <c r="P132" t="s">
        <v>416</v>
      </c>
      <c r="Q132" t="str">
        <f t="shared" si="2"/>
        <v xml:space="preserve">Jong geleerd, is oud gedaan! Dit geldt eveneens voor beweiding. Het vee moet leren grazen en maakt zo ook kennis met de afrastering en weidepomp (voorzie best 200 weidedagen over 2 seizoenen). </v>
      </c>
    </row>
    <row r="133" spans="1:17" x14ac:dyDescent="0.3">
      <c r="A133" s="2"/>
      <c r="B133" t="s">
        <v>117</v>
      </c>
      <c r="C133">
        <f>N132</f>
        <v>0.25</v>
      </c>
      <c r="D133">
        <v>0</v>
      </c>
      <c r="Q133" t="str">
        <f t="shared" si="2"/>
        <v/>
      </c>
    </row>
    <row r="134" spans="1:17" x14ac:dyDescent="0.3">
      <c r="A134" s="2" t="str">
        <f>IFERROR(_xlfn.TEXTAFTER(Algemeen!A7,"Aantal ",1),"")</f>
        <v/>
      </c>
      <c r="B134" t="s">
        <v>117</v>
      </c>
      <c r="C134" t="b">
        <v>1</v>
      </c>
      <c r="D134" t="b">
        <v>0</v>
      </c>
      <c r="F134" t="str">
        <f>IF(Weidegang!B7,Algemeen!D7,"")</f>
        <v/>
      </c>
      <c r="N134">
        <f>IF(Algemeen!B3="Melkvee",0,0.25)</f>
        <v>0.25</v>
      </c>
      <c r="Q134" t="str">
        <f t="shared" si="2"/>
        <v/>
      </c>
    </row>
    <row r="135" spans="1:17" s="11" customFormat="1" x14ac:dyDescent="0.3">
      <c r="A135" s="13"/>
      <c r="B135" s="11" t="s">
        <v>117</v>
      </c>
      <c r="C135" s="11">
        <f>N134</f>
        <v>0.25</v>
      </c>
      <c r="D135" s="11">
        <v>0</v>
      </c>
      <c r="Q135" s="11" t="str">
        <f t="shared" si="2"/>
        <v/>
      </c>
    </row>
    <row r="136" spans="1:17" x14ac:dyDescent="0.3">
      <c r="A136" t="s">
        <v>220</v>
      </c>
      <c r="B136" t="s">
        <v>155</v>
      </c>
      <c r="C136">
        <v>2000</v>
      </c>
      <c r="D136" t="s">
        <v>157</v>
      </c>
      <c r="N136">
        <v>1</v>
      </c>
      <c r="O136" t="str">
        <f>Weidegang!F9</f>
        <v>Nee</v>
      </c>
      <c r="P136" t="s">
        <v>417</v>
      </c>
      <c r="Q136" t="str">
        <f t="shared" si="2"/>
        <v/>
      </c>
    </row>
    <row r="137" spans="1:17" s="11" customFormat="1" x14ac:dyDescent="0.3">
      <c r="B137" s="11" t="s">
        <v>155</v>
      </c>
      <c r="C137" s="11">
        <f>N136</f>
        <v>1</v>
      </c>
      <c r="D137" s="11">
        <v>0</v>
      </c>
      <c r="Q137" s="11" t="str">
        <f t="shared" si="2"/>
        <v/>
      </c>
    </row>
    <row r="138" spans="1:17" x14ac:dyDescent="0.3">
      <c r="A138" t="s">
        <v>221</v>
      </c>
      <c r="B138" t="s">
        <v>155</v>
      </c>
      <c r="C138">
        <v>200</v>
      </c>
      <c r="D138" t="s">
        <v>157</v>
      </c>
      <c r="N138">
        <v>1</v>
      </c>
      <c r="O138" t="str">
        <f>Weidegang!F10</f>
        <v>Nee</v>
      </c>
      <c r="P138" t="s">
        <v>222</v>
      </c>
      <c r="Q138" t="str">
        <f t="shared" si="2"/>
        <v/>
      </c>
    </row>
    <row r="139" spans="1:17" s="11" customFormat="1" x14ac:dyDescent="0.3">
      <c r="B139" s="11" t="s">
        <v>155</v>
      </c>
      <c r="C139" s="11">
        <f>N138</f>
        <v>1</v>
      </c>
      <c r="D139" s="11">
        <v>0</v>
      </c>
      <c r="Q139" s="11" t="str">
        <f t="shared" ref="Q139:Q202" si="3">IF(OR(O139="Nee",O139="",P139=""),"",P139)</f>
        <v/>
      </c>
    </row>
    <row r="140" spans="1:17" x14ac:dyDescent="0.3">
      <c r="A140" t="s">
        <v>223</v>
      </c>
      <c r="B140" t="s">
        <v>115</v>
      </c>
      <c r="C140" t="s">
        <v>24</v>
      </c>
      <c r="D140" t="s">
        <v>61</v>
      </c>
      <c r="N140">
        <v>1</v>
      </c>
      <c r="O140" t="str">
        <f>Weidegang!F11</f>
        <v>Ja</v>
      </c>
      <c r="P140" t="s">
        <v>224</v>
      </c>
      <c r="Q140" t="str">
        <f t="shared" si="3"/>
        <v xml:space="preserve">Hittestress kan best voorkomen worden voor de productiviteit, maar zeker ook de gezondheid van het vee. </v>
      </c>
    </row>
    <row r="141" spans="1:17" s="11" customFormat="1" x14ac:dyDescent="0.3">
      <c r="B141" s="11" t="s">
        <v>115</v>
      </c>
      <c r="C141" s="11">
        <f>N140</f>
        <v>1</v>
      </c>
      <c r="D141" s="11">
        <v>0</v>
      </c>
      <c r="Q141" s="11" t="str">
        <f t="shared" si="3"/>
        <v/>
      </c>
    </row>
    <row r="142" spans="1:17" x14ac:dyDescent="0.3">
      <c r="A142" t="s">
        <v>225</v>
      </c>
      <c r="B142" t="s">
        <v>226</v>
      </c>
      <c r="C142" s="16" t="e">
        <f>SUM(F128:F134)/(Algemeen!B16+Algemeen!B18)</f>
        <v>#DIV/0!</v>
      </c>
      <c r="D142" t="s">
        <v>227</v>
      </c>
      <c r="E142">
        <v>10</v>
      </c>
      <c r="F142" t="s">
        <v>227</v>
      </c>
      <c r="N142">
        <v>1</v>
      </c>
      <c r="O142" t="str">
        <f>IF(O125="Nee","Nee","Ja")</f>
        <v>Ja</v>
      </c>
      <c r="P142" t="e">
        <f xml:space="preserve"> IF(C142&lt;10,_xlfn.CONCAT("Je beweidt nu ",ROUND(C142,1)," grootvee eenheden per ha."),_xlfn.CONCAT("Je beweidt nu ",ROUND(C142,1)," grootvee eenheden per ha. Wanneer er echter meer dan 10 koeien per ha huiskavel weiden, fungeert de weide eerder als uitloop en is beweiding weinig financieel interessant."))</f>
        <v>#DIV/0!</v>
      </c>
      <c r="Q142" t="e">
        <f t="shared" si="3"/>
        <v>#DIV/0!</v>
      </c>
    </row>
    <row r="143" spans="1:17" s="11" customFormat="1" x14ac:dyDescent="0.3">
      <c r="B143" s="11" t="s">
        <v>226</v>
      </c>
      <c r="D143" s="11">
        <f>N142</f>
        <v>1</v>
      </c>
      <c r="F143" s="11">
        <v>0</v>
      </c>
      <c r="Q143" s="11" t="str">
        <f t="shared" si="3"/>
        <v/>
      </c>
    </row>
    <row r="144" spans="1:17" x14ac:dyDescent="0.3">
      <c r="A144" t="s">
        <v>228</v>
      </c>
      <c r="B144" t="s">
        <v>226</v>
      </c>
      <c r="C144" s="16" t="e">
        <f>SUM(F128:F134)/(Algemeen!B17+Algemeen!B18)</f>
        <v>#DIV/0!</v>
      </c>
      <c r="O144" t="e">
        <f>IF(AND(C142&gt;10,C144&lt;10),"Ja","Nee")</f>
        <v>#DIV/0!</v>
      </c>
      <c r="P144" t="e">
        <f>_xlfn.CONCAT("Je hebt voldoende ha huiskavel geschikt voor beweiding om richting de ",ROUND(C144,1)," GVE/ha te zakken en toch onder die grens van 10 GVE/ha te duiken.")</f>
        <v>#DIV/0!</v>
      </c>
      <c r="Q144" t="e">
        <f t="shared" si="3"/>
        <v>#DIV/0!</v>
      </c>
    </row>
    <row r="145" spans="1:17" s="11" customFormat="1" x14ac:dyDescent="0.3">
      <c r="B145" s="11" t="s">
        <v>226</v>
      </c>
      <c r="Q145" s="11" t="str">
        <f t="shared" si="3"/>
        <v/>
      </c>
    </row>
    <row r="146" spans="1:17" s="23" customFormat="1" ht="15" thickBot="1" x14ac:dyDescent="0.35">
      <c r="A146" s="22" t="s">
        <v>229</v>
      </c>
      <c r="N146" s="23">
        <f>SUM(N125:N145)</f>
        <v>6</v>
      </c>
      <c r="P146" s="23" t="e">
        <f>_xlfn.CONCAT(P125:P145)</f>
        <v>#DIV/0!</v>
      </c>
      <c r="Q146" s="23" t="e">
        <f>_xlfn.CONCAT(Q125:Q145)</f>
        <v>#DIV/0!</v>
      </c>
    </row>
    <row r="147" spans="1:17" x14ac:dyDescent="0.3">
      <c r="Q147" t="str">
        <f t="shared" si="3"/>
        <v/>
      </c>
    </row>
    <row r="148" spans="1:17" s="11" customFormat="1" x14ac:dyDescent="0.3">
      <c r="A148" s="12" t="s">
        <v>77</v>
      </c>
      <c r="B148" s="12" t="s">
        <v>110</v>
      </c>
      <c r="C148" s="12" t="s">
        <v>111</v>
      </c>
      <c r="N148" s="12" t="s">
        <v>112</v>
      </c>
      <c r="O148" s="12" t="s">
        <v>21</v>
      </c>
      <c r="P148" s="12" t="s">
        <v>113</v>
      </c>
      <c r="Q148" s="12" t="s">
        <v>114</v>
      </c>
    </row>
    <row r="149" spans="1:17" x14ac:dyDescent="0.3">
      <c r="A149" s="4" t="s">
        <v>230</v>
      </c>
      <c r="Q149" t="str">
        <f t="shared" si="3"/>
        <v/>
      </c>
    </row>
    <row r="150" spans="1:17" s="11" customFormat="1" x14ac:dyDescent="0.3">
      <c r="Q150" s="11" t="str">
        <f t="shared" si="3"/>
        <v/>
      </c>
    </row>
    <row r="151" spans="1:17" x14ac:dyDescent="0.3">
      <c r="A151" t="s">
        <v>231</v>
      </c>
      <c r="B151" t="s">
        <v>115</v>
      </c>
      <c r="C151" t="s">
        <v>24</v>
      </c>
      <c r="D151" t="s">
        <v>61</v>
      </c>
      <c r="N151">
        <v>1</v>
      </c>
      <c r="Q151" t="str">
        <f t="shared" si="3"/>
        <v/>
      </c>
    </row>
    <row r="152" spans="1:17" s="11" customFormat="1" x14ac:dyDescent="0.3">
      <c r="B152" s="11" t="s">
        <v>115</v>
      </c>
      <c r="C152" s="11">
        <f>N151</f>
        <v>1</v>
      </c>
      <c r="D152" s="11">
        <v>0</v>
      </c>
      <c r="Q152" s="11" t="str">
        <f t="shared" si="3"/>
        <v/>
      </c>
    </row>
    <row r="153" spans="1:17" x14ac:dyDescent="0.3">
      <c r="A153" t="s">
        <v>232</v>
      </c>
      <c r="B153" t="s">
        <v>155</v>
      </c>
      <c r="C153">
        <f>'Kwaliteit graskuil'!B4</f>
        <v>0</v>
      </c>
      <c r="D153" t="s">
        <v>233</v>
      </c>
      <c r="F153">
        <f>(G153+80)/25</f>
        <v>3.8</v>
      </c>
      <c r="G153">
        <v>15</v>
      </c>
      <c r="N153">
        <v>2</v>
      </c>
      <c r="O153" t="str">
        <f>'Kwaliteit graskuil'!F5</f>
        <v>Nee</v>
      </c>
      <c r="P153" t="str">
        <f>_xlfn.CONCAT("Bij een  DS-percentage van ",C153,", zou de pH van de kuil tot onder ",D155," moeten zakken om een goede conservering te verzekeren. ")</f>
        <v xml:space="preserve">Bij een  DS-percentage van 0, zou de pH van de kuil tot onder 3,2 moeten zakken om een goede conservering te verzekeren. </v>
      </c>
      <c r="Q153" t="str">
        <f t="shared" si="3"/>
        <v/>
      </c>
    </row>
    <row r="154" spans="1:17" s="11" customFormat="1" x14ac:dyDescent="0.3">
      <c r="B154" s="11" t="s">
        <v>155</v>
      </c>
      <c r="F154" s="11">
        <f>(G154+80)/25</f>
        <v>5.6</v>
      </c>
      <c r="G154" s="11">
        <v>60</v>
      </c>
      <c r="Q154" s="11" t="str">
        <f t="shared" si="3"/>
        <v/>
      </c>
    </row>
    <row r="155" spans="1:17" x14ac:dyDescent="0.3">
      <c r="A155" t="s">
        <v>234</v>
      </c>
      <c r="B155" t="s">
        <v>155</v>
      </c>
      <c r="C155">
        <f>'Kwaliteit graskuil'!B5</f>
        <v>0</v>
      </c>
      <c r="D155">
        <f>(C153+80)/25</f>
        <v>3.2</v>
      </c>
      <c r="Q155" t="str">
        <f t="shared" si="3"/>
        <v/>
      </c>
    </row>
    <row r="156" spans="1:17" s="11" customFormat="1" x14ac:dyDescent="0.3">
      <c r="B156" s="11" t="s">
        <v>155</v>
      </c>
      <c r="C156" s="11">
        <f>IF(C155&gt;D155,0,N153)</f>
        <v>2</v>
      </c>
      <c r="Q156" s="11" t="str">
        <f t="shared" si="3"/>
        <v/>
      </c>
    </row>
    <row r="157" spans="1:17" x14ac:dyDescent="0.3">
      <c r="A157" t="s">
        <v>235</v>
      </c>
      <c r="B157" t="s">
        <v>155</v>
      </c>
      <c r="C157">
        <v>5</v>
      </c>
      <c r="D157">
        <v>8</v>
      </c>
      <c r="E157">
        <v>10</v>
      </c>
      <c r="F157">
        <v>12</v>
      </c>
      <c r="G157" t="s">
        <v>236</v>
      </c>
      <c r="N157">
        <v>1</v>
      </c>
      <c r="O157" t="str">
        <f>'Kwaliteit graskuil'!F6</f>
        <v>Nee</v>
      </c>
      <c r="P157" t="s">
        <v>237</v>
      </c>
      <c r="Q157" t="str">
        <f t="shared" si="3"/>
        <v/>
      </c>
    </row>
    <row r="158" spans="1:17" s="11" customFormat="1" x14ac:dyDescent="0.3">
      <c r="B158" s="11" t="s">
        <v>155</v>
      </c>
      <c r="C158" s="11">
        <f>N157</f>
        <v>1</v>
      </c>
      <c r="D158" s="11">
        <f>N157*3/4</f>
        <v>0.75</v>
      </c>
      <c r="E158" s="11">
        <f>N157/2</f>
        <v>0.5</v>
      </c>
      <c r="F158" s="11">
        <f>N157*1/4</f>
        <v>0.25</v>
      </c>
      <c r="G158" s="11">
        <v>0</v>
      </c>
      <c r="Q158" s="11" t="str">
        <f t="shared" si="3"/>
        <v/>
      </c>
    </row>
    <row r="159" spans="1:17" x14ac:dyDescent="0.3">
      <c r="A159" t="s">
        <v>238</v>
      </c>
      <c r="B159" t="s">
        <v>155</v>
      </c>
      <c r="C159" t="s">
        <v>227</v>
      </c>
      <c r="D159">
        <v>90</v>
      </c>
      <c r="E159">
        <v>105</v>
      </c>
      <c r="F159">
        <v>120</v>
      </c>
      <c r="G159" t="s">
        <v>227</v>
      </c>
      <c r="N159">
        <v>1</v>
      </c>
      <c r="O159" t="str">
        <f>'Kwaliteit graskuil'!F7</f>
        <v>Nee</v>
      </c>
      <c r="P159" t="s">
        <v>418</v>
      </c>
      <c r="Q159" t="str">
        <f t="shared" si="3"/>
        <v/>
      </c>
    </row>
    <row r="160" spans="1:17" s="11" customFormat="1" x14ac:dyDescent="0.3">
      <c r="B160" s="11" t="s">
        <v>155</v>
      </c>
      <c r="C160" s="11">
        <f>N159</f>
        <v>1</v>
      </c>
      <c r="D160" s="11">
        <f>N159*3/4</f>
        <v>0.75</v>
      </c>
      <c r="F160" s="11">
        <f>N159/2</f>
        <v>0.5</v>
      </c>
      <c r="G160" s="11">
        <v>0</v>
      </c>
      <c r="Q160" s="11" t="str">
        <f t="shared" si="3"/>
        <v/>
      </c>
    </row>
    <row r="161" spans="1:17" s="23" customFormat="1" ht="15" thickBot="1" x14ac:dyDescent="0.35">
      <c r="A161" s="22" t="s">
        <v>239</v>
      </c>
      <c r="N161" s="23">
        <f>SUM(N149:N160)</f>
        <v>5</v>
      </c>
      <c r="P161" s="23" t="str">
        <f>_xlfn.CONCAT(P149:P160)</f>
        <v xml:space="preserve">Bij een  DS-percentage van 0, zou de pH van de kuil tot onder 3,2 moeten zakken om een goede conservering te verzekeren. De ammoniakfractie zit best onder de 5. Hogere ammoniakfracties (zeker wanneer hoger dan 12) duiden op een slechte conservering en afbraak van hoogwaardig eiwit. Hoge ruw as gehaltes duiden vaak op verontreiniging met grond, wat zorgt voor een lagere voederwaarde en vaak een slechtere conservering en meer boterzuurproductie. Door een zorgvuldige machineafstelling, hoger te maaien en tijdig uitgevoerde mollenbestrijding, kan u het ruw asgehalte lager houden. In geval van kruidenrijk grasland kunnen hogere gehaltes echter ook deels verklaard worden door het hogere mineralengehalte. </v>
      </c>
      <c r="Q161" s="23" t="str">
        <f>_xlfn.CONCAT(Q149:Q160)</f>
        <v/>
      </c>
    </row>
    <row r="162" spans="1:17" x14ac:dyDescent="0.3">
      <c r="Q162" t="str">
        <f t="shared" si="3"/>
        <v/>
      </c>
    </row>
    <row r="163" spans="1:17" s="11" customFormat="1" x14ac:dyDescent="0.3">
      <c r="A163" s="12" t="s">
        <v>240</v>
      </c>
      <c r="B163" s="12" t="s">
        <v>110</v>
      </c>
      <c r="C163" s="12" t="s">
        <v>111</v>
      </c>
      <c r="N163" s="12" t="s">
        <v>112</v>
      </c>
      <c r="O163" s="12" t="s">
        <v>21</v>
      </c>
      <c r="P163" s="12" t="s">
        <v>113</v>
      </c>
      <c r="Q163" s="12" t="s">
        <v>114</v>
      </c>
    </row>
    <row r="164" spans="1:17" x14ac:dyDescent="0.3">
      <c r="A164" t="s">
        <v>241</v>
      </c>
      <c r="B164" t="s">
        <v>115</v>
      </c>
      <c r="C164" t="s">
        <v>24</v>
      </c>
      <c r="D164" t="s">
        <v>61</v>
      </c>
      <c r="N164">
        <v>1</v>
      </c>
      <c r="O164" t="e">
        <f>'In-uitkuilen'!E2</f>
        <v>#N/A</v>
      </c>
      <c r="P164" t="s">
        <v>242</v>
      </c>
      <c r="Q164" t="e">
        <f t="shared" si="3"/>
        <v>#N/A</v>
      </c>
    </row>
    <row r="165" spans="1:17" s="11" customFormat="1" x14ac:dyDescent="0.3">
      <c r="B165" s="11" t="s">
        <v>115</v>
      </c>
      <c r="C165" s="11">
        <f>N164</f>
        <v>1</v>
      </c>
      <c r="D165" s="11">
        <v>0</v>
      </c>
      <c r="Q165" s="11" t="str">
        <f t="shared" si="3"/>
        <v/>
      </c>
    </row>
    <row r="166" spans="1:17" x14ac:dyDescent="0.3">
      <c r="A166" t="s">
        <v>243</v>
      </c>
      <c r="B166" t="s">
        <v>115</v>
      </c>
      <c r="C166" t="s">
        <v>24</v>
      </c>
      <c r="D166" t="s">
        <v>61</v>
      </c>
      <c r="N166">
        <v>1</v>
      </c>
      <c r="O166" t="e">
        <f>'In-uitkuilen'!E3</f>
        <v>#N/A</v>
      </c>
      <c r="P166" t="s">
        <v>244</v>
      </c>
      <c r="Q166" t="e">
        <f t="shared" si="3"/>
        <v>#N/A</v>
      </c>
    </row>
    <row r="167" spans="1:17" s="11" customFormat="1" x14ac:dyDescent="0.3">
      <c r="B167" s="11" t="s">
        <v>115</v>
      </c>
      <c r="C167" s="11">
        <f>N166</f>
        <v>1</v>
      </c>
      <c r="D167" s="11">
        <v>0</v>
      </c>
      <c r="Q167" s="11" t="str">
        <f t="shared" si="3"/>
        <v/>
      </c>
    </row>
    <row r="168" spans="1:17" x14ac:dyDescent="0.3">
      <c r="A168" t="s">
        <v>245</v>
      </c>
      <c r="B168" t="s">
        <v>115</v>
      </c>
      <c r="C168" t="s">
        <v>24</v>
      </c>
      <c r="D168" t="s">
        <v>61</v>
      </c>
      <c r="N168">
        <v>1</v>
      </c>
      <c r="O168" t="e">
        <f>'In-uitkuilen'!E4</f>
        <v>#N/A</v>
      </c>
      <c r="P168" t="s">
        <v>246</v>
      </c>
      <c r="Q168" t="e">
        <f t="shared" si="3"/>
        <v>#N/A</v>
      </c>
    </row>
    <row r="169" spans="1:17" s="11" customFormat="1" x14ac:dyDescent="0.3">
      <c r="B169" s="11" t="s">
        <v>115</v>
      </c>
      <c r="C169" s="11">
        <f>N168</f>
        <v>1</v>
      </c>
      <c r="D169" s="11">
        <v>0</v>
      </c>
      <c r="Q169" s="11" t="str">
        <f t="shared" si="3"/>
        <v/>
      </c>
    </row>
    <row r="170" spans="1:17" x14ac:dyDescent="0.3">
      <c r="A170" t="s">
        <v>247</v>
      </c>
      <c r="B170" t="s">
        <v>115</v>
      </c>
      <c r="C170" t="s">
        <v>24</v>
      </c>
      <c r="D170" t="s">
        <v>61</v>
      </c>
      <c r="N170">
        <v>1</v>
      </c>
      <c r="O170" t="e">
        <f>'In-uitkuilen'!E5</f>
        <v>#N/A</v>
      </c>
      <c r="P170" t="s">
        <v>419</v>
      </c>
      <c r="Q170" t="e">
        <f t="shared" si="3"/>
        <v>#N/A</v>
      </c>
    </row>
    <row r="171" spans="1:17" s="11" customFormat="1" x14ac:dyDescent="0.3">
      <c r="B171" s="11" t="s">
        <v>115</v>
      </c>
      <c r="C171" s="11">
        <f>N170</f>
        <v>1</v>
      </c>
      <c r="D171" s="11">
        <v>0</v>
      </c>
      <c r="Q171" s="11" t="str">
        <f t="shared" si="3"/>
        <v/>
      </c>
    </row>
    <row r="172" spans="1:17" x14ac:dyDescent="0.3">
      <c r="A172" t="s">
        <v>248</v>
      </c>
      <c r="B172" t="s">
        <v>115</v>
      </c>
      <c r="C172" t="s">
        <v>24</v>
      </c>
      <c r="D172" t="s">
        <v>61</v>
      </c>
      <c r="N172">
        <v>1</v>
      </c>
      <c r="O172" t="e">
        <f>'In-uitkuilen'!E6</f>
        <v>#N/A</v>
      </c>
      <c r="P172" t="s">
        <v>249</v>
      </c>
      <c r="Q172" t="e">
        <f t="shared" si="3"/>
        <v>#N/A</v>
      </c>
    </row>
    <row r="173" spans="1:17" s="11" customFormat="1" x14ac:dyDescent="0.3">
      <c r="B173" s="11" t="s">
        <v>115</v>
      </c>
      <c r="C173" s="11">
        <f>N172</f>
        <v>1</v>
      </c>
      <c r="D173" s="11">
        <v>0</v>
      </c>
      <c r="Q173" s="11" t="str">
        <f t="shared" si="3"/>
        <v/>
      </c>
    </row>
    <row r="174" spans="1:17" x14ac:dyDescent="0.3">
      <c r="A174" t="s">
        <v>250</v>
      </c>
      <c r="B174" t="s">
        <v>115</v>
      </c>
      <c r="C174" t="s">
        <v>24</v>
      </c>
      <c r="D174" t="s">
        <v>61</v>
      </c>
      <c r="N174">
        <v>1</v>
      </c>
      <c r="O174" t="e">
        <f>'In-uitkuilen'!E7</f>
        <v>#N/A</v>
      </c>
      <c r="P174" t="s">
        <v>251</v>
      </c>
      <c r="Q174" t="e">
        <f t="shared" si="3"/>
        <v>#N/A</v>
      </c>
    </row>
    <row r="175" spans="1:17" s="11" customFormat="1" x14ac:dyDescent="0.3">
      <c r="B175" s="11" t="s">
        <v>115</v>
      </c>
      <c r="C175" s="11">
        <f>N174</f>
        <v>1</v>
      </c>
      <c r="D175" s="11">
        <v>0</v>
      </c>
      <c r="Q175" s="11" t="str">
        <f t="shared" si="3"/>
        <v/>
      </c>
    </row>
    <row r="176" spans="1:17" x14ac:dyDescent="0.3">
      <c r="A176" t="s">
        <v>252</v>
      </c>
      <c r="B176" t="s">
        <v>115</v>
      </c>
      <c r="C176" t="s">
        <v>24</v>
      </c>
      <c r="D176" t="s">
        <v>61</v>
      </c>
      <c r="N176">
        <v>1</v>
      </c>
      <c r="O176" t="e">
        <f>'In-uitkuilen'!E8</f>
        <v>#N/A</v>
      </c>
      <c r="P176" t="s">
        <v>433</v>
      </c>
      <c r="Q176" t="e">
        <f t="shared" si="3"/>
        <v>#N/A</v>
      </c>
    </row>
    <row r="177" spans="1:17" s="11" customFormat="1" x14ac:dyDescent="0.3">
      <c r="B177" s="11" t="s">
        <v>115</v>
      </c>
      <c r="C177" s="11">
        <f>N176</f>
        <v>1</v>
      </c>
      <c r="D177" s="11">
        <v>0</v>
      </c>
      <c r="Q177" s="11" t="str">
        <f t="shared" si="3"/>
        <v/>
      </c>
    </row>
    <row r="178" spans="1:17" x14ac:dyDescent="0.3">
      <c r="A178" t="s">
        <v>253</v>
      </c>
      <c r="B178" t="s">
        <v>115</v>
      </c>
      <c r="C178" t="s">
        <v>24</v>
      </c>
      <c r="D178" t="s">
        <v>61</v>
      </c>
      <c r="N178">
        <v>1</v>
      </c>
      <c r="O178" t="e">
        <f>'In-uitkuilen'!E9</f>
        <v>#N/A</v>
      </c>
      <c r="P178" t="s">
        <v>254</v>
      </c>
      <c r="Q178" t="e">
        <f t="shared" si="3"/>
        <v>#N/A</v>
      </c>
    </row>
    <row r="179" spans="1:17" s="11" customFormat="1" x14ac:dyDescent="0.3">
      <c r="B179" s="11" t="s">
        <v>115</v>
      </c>
      <c r="C179" s="11">
        <f>N178</f>
        <v>1</v>
      </c>
      <c r="D179" s="11">
        <v>0</v>
      </c>
      <c r="Q179" s="11" t="str">
        <f t="shared" si="3"/>
        <v/>
      </c>
    </row>
    <row r="180" spans="1:17" x14ac:dyDescent="0.3">
      <c r="A180" t="s">
        <v>255</v>
      </c>
      <c r="B180" t="s">
        <v>115</v>
      </c>
      <c r="C180" t="s">
        <v>24</v>
      </c>
      <c r="D180" t="s">
        <v>61</v>
      </c>
      <c r="N180">
        <v>1</v>
      </c>
      <c r="O180" t="e">
        <f>'In-uitkuilen'!E10</f>
        <v>#N/A</v>
      </c>
      <c r="P180" t="s">
        <v>256</v>
      </c>
      <c r="Q180" t="e">
        <f t="shared" si="3"/>
        <v>#N/A</v>
      </c>
    </row>
    <row r="181" spans="1:17" s="11" customFormat="1" x14ac:dyDescent="0.3">
      <c r="B181" s="11" t="s">
        <v>115</v>
      </c>
      <c r="C181" s="11">
        <f>N180</f>
        <v>1</v>
      </c>
      <c r="D181" s="11">
        <v>0</v>
      </c>
      <c r="Q181" s="11" t="str">
        <f t="shared" si="3"/>
        <v/>
      </c>
    </row>
    <row r="182" spans="1:17" x14ac:dyDescent="0.3">
      <c r="A182" t="s">
        <v>257</v>
      </c>
      <c r="B182" t="s">
        <v>258</v>
      </c>
      <c r="C182" t="s">
        <v>259</v>
      </c>
      <c r="D182" t="s">
        <v>260</v>
      </c>
      <c r="E182" t="s">
        <v>261</v>
      </c>
      <c r="F182" t="s">
        <v>262</v>
      </c>
      <c r="G182" t="s">
        <v>263</v>
      </c>
      <c r="H182" t="s">
        <v>264</v>
      </c>
      <c r="N182">
        <v>1</v>
      </c>
      <c r="O182" t="e">
        <f>'In-uitkuilen'!E11</f>
        <v>#N/A</v>
      </c>
      <c r="P182" t="s">
        <v>265</v>
      </c>
      <c r="Q182" t="e">
        <f t="shared" si="3"/>
        <v>#N/A</v>
      </c>
    </row>
    <row r="183" spans="1:17" s="11" customFormat="1" x14ac:dyDescent="0.3">
      <c r="B183" s="11" t="s">
        <v>258</v>
      </c>
      <c r="C183" s="11">
        <v>0</v>
      </c>
      <c r="D183" s="11">
        <v>0</v>
      </c>
      <c r="E183" s="11">
        <f>N182</f>
        <v>1</v>
      </c>
      <c r="F183" s="11">
        <f>N182</f>
        <v>1</v>
      </c>
      <c r="G183" s="11">
        <f>N182</f>
        <v>1</v>
      </c>
      <c r="H183" s="11">
        <f>N182</f>
        <v>1</v>
      </c>
      <c r="Q183" s="11" t="str">
        <f t="shared" si="3"/>
        <v/>
      </c>
    </row>
    <row r="184" spans="1:17" x14ac:dyDescent="0.3">
      <c r="A184" t="s">
        <v>266</v>
      </c>
      <c r="B184" t="s">
        <v>115</v>
      </c>
      <c r="C184" t="s">
        <v>24</v>
      </c>
      <c r="D184" t="s">
        <v>61</v>
      </c>
      <c r="N184">
        <v>1</v>
      </c>
      <c r="O184" t="e">
        <f>'In-uitkuilen'!E12</f>
        <v>#N/A</v>
      </c>
      <c r="P184" t="s">
        <v>267</v>
      </c>
      <c r="Q184" t="e">
        <f t="shared" si="3"/>
        <v>#N/A</v>
      </c>
    </row>
    <row r="185" spans="1:17" s="11" customFormat="1" x14ac:dyDescent="0.3">
      <c r="B185" s="11" t="s">
        <v>115</v>
      </c>
      <c r="C185" s="11">
        <f>N184</f>
        <v>1</v>
      </c>
      <c r="D185" s="11">
        <v>0</v>
      </c>
      <c r="Q185" s="11" t="str">
        <f t="shared" si="3"/>
        <v/>
      </c>
    </row>
    <row r="186" spans="1:17" x14ac:dyDescent="0.3">
      <c r="A186" t="s">
        <v>268</v>
      </c>
      <c r="B186" t="s">
        <v>115</v>
      </c>
      <c r="C186" t="s">
        <v>24</v>
      </c>
      <c r="D186" t="s">
        <v>61</v>
      </c>
      <c r="N186">
        <v>1</v>
      </c>
      <c r="O186" t="e">
        <f>'In-uitkuilen'!E13</f>
        <v>#N/A</v>
      </c>
      <c r="P186" t="s">
        <v>269</v>
      </c>
      <c r="Q186" t="e">
        <f t="shared" si="3"/>
        <v>#N/A</v>
      </c>
    </row>
    <row r="187" spans="1:17" s="11" customFormat="1" x14ac:dyDescent="0.3">
      <c r="B187" s="11" t="s">
        <v>115</v>
      </c>
      <c r="C187" s="11">
        <f>N186</f>
        <v>1</v>
      </c>
      <c r="D187" s="11">
        <v>0</v>
      </c>
      <c r="Q187" s="11" t="str">
        <f t="shared" si="3"/>
        <v/>
      </c>
    </row>
    <row r="188" spans="1:17" x14ac:dyDescent="0.3">
      <c r="A188" t="s">
        <v>270</v>
      </c>
      <c r="B188" t="s">
        <v>115</v>
      </c>
      <c r="C188" t="s">
        <v>24</v>
      </c>
      <c r="D188" t="s">
        <v>61</v>
      </c>
      <c r="N188">
        <v>1</v>
      </c>
      <c r="O188" t="e">
        <f>'In-uitkuilen'!E14</f>
        <v>#N/A</v>
      </c>
      <c r="Q188" t="e">
        <f t="shared" si="3"/>
        <v>#N/A</v>
      </c>
    </row>
    <row r="189" spans="1:17" s="11" customFormat="1" x14ac:dyDescent="0.3">
      <c r="B189" s="11" t="s">
        <v>115</v>
      </c>
      <c r="C189" s="11">
        <f>N188</f>
        <v>1</v>
      </c>
      <c r="D189" s="11">
        <v>0</v>
      </c>
      <c r="Q189" s="11" t="str">
        <f t="shared" si="3"/>
        <v/>
      </c>
    </row>
    <row r="190" spans="1:17" x14ac:dyDescent="0.3">
      <c r="A190" t="s">
        <v>271</v>
      </c>
      <c r="B190" t="s">
        <v>155</v>
      </c>
      <c r="C190">
        <v>1</v>
      </c>
      <c r="D190">
        <v>2</v>
      </c>
      <c r="E190">
        <v>3</v>
      </c>
      <c r="F190">
        <v>4</v>
      </c>
      <c r="G190">
        <v>5</v>
      </c>
      <c r="H190">
        <v>6</v>
      </c>
      <c r="I190">
        <v>7</v>
      </c>
      <c r="N190">
        <v>1</v>
      </c>
      <c r="O190" t="e">
        <f>'In-uitkuilen'!E15</f>
        <v>#N/A</v>
      </c>
      <c r="P190" t="s">
        <v>272</v>
      </c>
      <c r="Q190" t="e">
        <f t="shared" si="3"/>
        <v>#N/A</v>
      </c>
    </row>
    <row r="191" spans="1:17" s="11" customFormat="1" x14ac:dyDescent="0.3">
      <c r="B191" s="11" t="s">
        <v>155</v>
      </c>
      <c r="C191" s="11">
        <v>0</v>
      </c>
      <c r="D191" s="11">
        <v>0</v>
      </c>
      <c r="E191" s="11">
        <f>N190</f>
        <v>1</v>
      </c>
      <c r="F191" s="11">
        <f>N190</f>
        <v>1</v>
      </c>
      <c r="G191" s="11">
        <f>N190</f>
        <v>1</v>
      </c>
      <c r="H191" s="11">
        <f>N190</f>
        <v>1</v>
      </c>
      <c r="I191" s="11">
        <f>N190</f>
        <v>1</v>
      </c>
      <c r="Q191" s="11" t="str">
        <f t="shared" si="3"/>
        <v/>
      </c>
    </row>
    <row r="192" spans="1:17" x14ac:dyDescent="0.3">
      <c r="A192" t="s">
        <v>273</v>
      </c>
      <c r="B192" t="s">
        <v>115</v>
      </c>
      <c r="C192" t="s">
        <v>24</v>
      </c>
      <c r="D192" t="s">
        <v>61</v>
      </c>
      <c r="N192">
        <v>1</v>
      </c>
      <c r="O192" t="e">
        <f>'In-uitkuilen'!E16</f>
        <v>#N/A</v>
      </c>
      <c r="Q192" t="e">
        <f t="shared" si="3"/>
        <v>#N/A</v>
      </c>
    </row>
    <row r="193" spans="1:17" s="11" customFormat="1" x14ac:dyDescent="0.3">
      <c r="B193" s="11" t="s">
        <v>115</v>
      </c>
      <c r="C193" s="11">
        <f>N192</f>
        <v>1</v>
      </c>
      <c r="D193" s="11">
        <v>0</v>
      </c>
      <c r="Q193" s="11" t="str">
        <f t="shared" si="3"/>
        <v/>
      </c>
    </row>
    <row r="194" spans="1:17" s="23" customFormat="1" ht="15" thickBot="1" x14ac:dyDescent="0.35">
      <c r="A194" s="22" t="s">
        <v>274</v>
      </c>
      <c r="N194" s="23">
        <f>SUM(N164:N193)</f>
        <v>15</v>
      </c>
      <c r="P194" s="23" t="str">
        <f>_xlfn.CONCAT(P164:P193)</f>
        <v xml:space="preserve">Door de aanrijroute zuiver te houden, komt er minder grond en nefaste micro-organismen in de kuil terecht. Liefst is de aanvoersnelheid (ton/uur) maar de helft van het gewicht op de kuil. Oude plastic kan steeds gecontamineerd zijn met grond en ongewenste micro-organismen. Het werken met een lasagnekuil helpt de kwaliteit van de graskuil en het rantsoen stabiel te houden. Inkuilmiddelen helpen de kwaliteit van de graskuil veilig te stellen. Onder ideale omstandigheden zijn deze niet nodig en zorgt een goed conserveringsproces hier al voor, maar bij zeer nat of eiwitrijk gras is het vaak toch een wijze beslissing om ervan gebruik te maken. Door je kuil snel af te dekken, kan het conserveringsproces sneller van start gaan en wordt broei zo veel mogelijk voorkomen. Een zuurstofdichte onderfolie zorgt voor een optimale afsluiting van de kuil en draagt bij aan een goede conservering en bewaring van het voer. De afdekfolie beschermt de onderfolie bovendien tegen UV-straling, zodat deze haar kwaliteit en werking behoudt.Net zoals het snel dichtleggen van de graskuil, worden balen best zo snel mogelijk na persen gewikkeld zodat het conserveringsproces van start kan gaan. Een dekzeil over de balen leggen helpt schade door o.a. vogels te voorkomen. Er kan best minstens 6 weken gewacht worden met het openen van een kuil. Door een strak snijvlak achter te laten, zorgt u voor zo weinig mogelijk luchtintreding wat broei helpt beperken en voederkwaliteit ten goede komt. Er kan best een voersnelheid van minimaal 1,5 m per week worden aangehouden om broei te voorkomen. In de zomer mag dit zelfs liefst meer dan 2 m per week bedragen. Door de kuil meerdere keren per week verder open te leggen, moet er geen te groot deel worden opengelegd. Hierdoor kan er minder snel zuurstof in de kuil komen, wat anders broei in de hand speelt. </v>
      </c>
      <c r="Q194" s="23" t="e">
        <f>_xlfn.CONCAT(Q164:Q193)</f>
        <v>#N/A</v>
      </c>
    </row>
    <row r="195" spans="1:17" x14ac:dyDescent="0.3">
      <c r="Q195" t="str">
        <f t="shared" si="3"/>
        <v/>
      </c>
    </row>
    <row r="196" spans="1:17" s="11" customFormat="1" x14ac:dyDescent="0.3">
      <c r="A196" s="12" t="s">
        <v>79</v>
      </c>
      <c r="B196" s="12" t="s">
        <v>110</v>
      </c>
      <c r="C196" s="12" t="s">
        <v>111</v>
      </c>
      <c r="N196" s="12" t="s">
        <v>112</v>
      </c>
      <c r="O196" s="12" t="s">
        <v>21</v>
      </c>
      <c r="P196" s="12" t="s">
        <v>113</v>
      </c>
      <c r="Q196" s="12" t="s">
        <v>114</v>
      </c>
    </row>
    <row r="197" spans="1:17" x14ac:dyDescent="0.3">
      <c r="A197" t="s">
        <v>275</v>
      </c>
      <c r="B197" t="s">
        <v>115</v>
      </c>
      <c r="C197" t="s">
        <v>24</v>
      </c>
      <c r="D197" t="s">
        <v>61</v>
      </c>
      <c r="N197">
        <v>1</v>
      </c>
      <c r="O197" t="e">
        <f>Graslandonderhoud!D2</f>
        <v>#N/A</v>
      </c>
      <c r="P197" t="s">
        <v>276</v>
      </c>
      <c r="Q197" t="e">
        <f t="shared" si="3"/>
        <v>#N/A</v>
      </c>
    </row>
    <row r="198" spans="1:17" s="11" customFormat="1" x14ac:dyDescent="0.3">
      <c r="B198" s="11" t="s">
        <v>115</v>
      </c>
      <c r="C198" s="11">
        <f>N197</f>
        <v>1</v>
      </c>
      <c r="D198" s="11">
        <v>0</v>
      </c>
      <c r="Q198" s="11" t="str">
        <f t="shared" si="3"/>
        <v/>
      </c>
    </row>
    <row r="199" spans="1:17" x14ac:dyDescent="0.3">
      <c r="A199" t="s">
        <v>277</v>
      </c>
      <c r="B199" t="s">
        <v>115</v>
      </c>
      <c r="C199" t="s">
        <v>24</v>
      </c>
      <c r="D199" t="s">
        <v>61</v>
      </c>
      <c r="N199">
        <v>1</v>
      </c>
      <c r="O199" t="e">
        <f>Graslandonderhoud!D3</f>
        <v>#N/A</v>
      </c>
      <c r="P199" t="s">
        <v>278</v>
      </c>
      <c r="Q199" t="e">
        <f t="shared" si="3"/>
        <v>#N/A</v>
      </c>
    </row>
    <row r="200" spans="1:17" s="11" customFormat="1" x14ac:dyDescent="0.3">
      <c r="B200" s="11" t="s">
        <v>115</v>
      </c>
      <c r="C200" s="11">
        <f>N199</f>
        <v>1</v>
      </c>
      <c r="D200" s="11">
        <v>0</v>
      </c>
      <c r="Q200" s="11" t="str">
        <f t="shared" si="3"/>
        <v/>
      </c>
    </row>
    <row r="201" spans="1:17" x14ac:dyDescent="0.3">
      <c r="A201" t="s">
        <v>279</v>
      </c>
      <c r="B201" t="s">
        <v>128</v>
      </c>
      <c r="C201" t="str">
        <f>Lijsten!AJ2</f>
        <v>Vollevelds</v>
      </c>
      <c r="D201" t="str">
        <f>Lijsten!AJ3</f>
        <v>Plaatsspecifiek indien mogelijk</v>
      </c>
      <c r="N201">
        <v>0.5</v>
      </c>
      <c r="O201" t="e">
        <f>Graslandonderhoud!D4</f>
        <v>#N/A</v>
      </c>
      <c r="P201" t="s">
        <v>280</v>
      </c>
      <c r="Q201" t="e">
        <f t="shared" si="3"/>
        <v>#N/A</v>
      </c>
    </row>
    <row r="202" spans="1:17" s="11" customFormat="1" x14ac:dyDescent="0.3">
      <c r="B202" s="11" t="s">
        <v>128</v>
      </c>
      <c r="C202" s="11">
        <v>0</v>
      </c>
      <c r="D202" s="11">
        <f>N201</f>
        <v>0.5</v>
      </c>
      <c r="Q202" s="11" t="str">
        <f t="shared" si="3"/>
        <v/>
      </c>
    </row>
    <row r="203" spans="1:17" x14ac:dyDescent="0.3">
      <c r="A203" t="s">
        <v>281</v>
      </c>
      <c r="B203" t="s">
        <v>115</v>
      </c>
      <c r="C203" t="s">
        <v>24</v>
      </c>
      <c r="D203" t="s">
        <v>61</v>
      </c>
      <c r="N203">
        <v>1</v>
      </c>
      <c r="O203" t="e">
        <f>Graslandonderhoud!D5</f>
        <v>#N/A</v>
      </c>
      <c r="P203" t="s">
        <v>282</v>
      </c>
      <c r="Q203" t="e">
        <f t="shared" ref="Q203:Q232" si="4">IF(OR(O203="Nee",O203="",P203=""),"",P203)</f>
        <v>#N/A</v>
      </c>
    </row>
    <row r="204" spans="1:17" s="11" customFormat="1" x14ac:dyDescent="0.3">
      <c r="B204" s="11" t="s">
        <v>115</v>
      </c>
      <c r="C204" s="11">
        <f>N203</f>
        <v>1</v>
      </c>
      <c r="D204" s="11">
        <v>0</v>
      </c>
      <c r="Q204" s="11" t="str">
        <f t="shared" si="4"/>
        <v/>
      </c>
    </row>
    <row r="205" spans="1:17" x14ac:dyDescent="0.3">
      <c r="A205" t="s">
        <v>283</v>
      </c>
      <c r="B205" t="s">
        <v>115</v>
      </c>
      <c r="C205" t="s">
        <v>24</v>
      </c>
      <c r="D205" t="s">
        <v>61</v>
      </c>
      <c r="N205">
        <v>1</v>
      </c>
      <c r="O205" t="e">
        <f>Graslandonderhoud!D6</f>
        <v>#N/A</v>
      </c>
      <c r="P205" t="s">
        <v>420</v>
      </c>
      <c r="Q205" t="e">
        <f t="shared" si="4"/>
        <v>#N/A</v>
      </c>
    </row>
    <row r="206" spans="1:17" s="11" customFormat="1" x14ac:dyDescent="0.3">
      <c r="B206" s="11" t="s">
        <v>115</v>
      </c>
      <c r="C206" s="11">
        <f>N205</f>
        <v>1</v>
      </c>
      <c r="D206" s="11">
        <v>0</v>
      </c>
      <c r="Q206" t="str">
        <f t="shared" si="4"/>
        <v/>
      </c>
    </row>
    <row r="207" spans="1:17" x14ac:dyDescent="0.3">
      <c r="A207" t="s">
        <v>284</v>
      </c>
      <c r="B207" t="s">
        <v>155</v>
      </c>
      <c r="C207" t="s">
        <v>285</v>
      </c>
      <c r="D207">
        <v>74</v>
      </c>
      <c r="E207">
        <v>69</v>
      </c>
      <c r="F207">
        <v>59</v>
      </c>
      <c r="G207">
        <v>54</v>
      </c>
      <c r="H207" t="s">
        <v>285</v>
      </c>
      <c r="N207">
        <v>1</v>
      </c>
      <c r="O207" t="str">
        <f>Graslandonderhoud!D7</f>
        <v>Ja</v>
      </c>
      <c r="P207" t="s">
        <v>286</v>
      </c>
      <c r="Q207" t="str">
        <f t="shared" si="4"/>
        <v xml:space="preserve">Van zodra het aandeel goede grassen en klavers onder 60% dreigt te dalen is het tijd om het grasland te scheuren. </v>
      </c>
    </row>
    <row r="208" spans="1:17" s="11" customFormat="1" x14ac:dyDescent="0.3">
      <c r="B208" s="11" t="s">
        <v>155</v>
      </c>
      <c r="C208" s="11">
        <v>0</v>
      </c>
      <c r="D208" s="11">
        <f>N207*3/4</f>
        <v>0.75</v>
      </c>
      <c r="E208" s="11">
        <f>N207</f>
        <v>1</v>
      </c>
      <c r="F208" s="11">
        <f>N207*3/4</f>
        <v>0.75</v>
      </c>
      <c r="G208" s="11">
        <v>0</v>
      </c>
      <c r="P208" s="20"/>
      <c r="Q208" s="11" t="str">
        <f t="shared" si="4"/>
        <v/>
      </c>
    </row>
    <row r="209" spans="1:17" x14ac:dyDescent="0.3">
      <c r="A209" t="s">
        <v>287</v>
      </c>
      <c r="B209" t="s">
        <v>115</v>
      </c>
      <c r="C209" t="s">
        <v>24</v>
      </c>
      <c r="D209" t="s">
        <v>61</v>
      </c>
      <c r="N209">
        <v>1</v>
      </c>
      <c r="O209" t="e">
        <f>Graslandonderhoud!D8</f>
        <v>#N/A</v>
      </c>
      <c r="P209" t="s">
        <v>434</v>
      </c>
      <c r="Q209" t="e">
        <f t="shared" si="4"/>
        <v>#N/A</v>
      </c>
    </row>
    <row r="210" spans="1:17" s="11" customFormat="1" x14ac:dyDescent="0.3">
      <c r="B210" s="11" t="s">
        <v>115</v>
      </c>
      <c r="C210" s="11">
        <f>N209</f>
        <v>1</v>
      </c>
      <c r="D210" s="11">
        <v>0</v>
      </c>
      <c r="Q210" s="11" t="str">
        <f t="shared" si="4"/>
        <v/>
      </c>
    </row>
    <row r="211" spans="1:17" x14ac:dyDescent="0.3">
      <c r="A211" t="s">
        <v>288</v>
      </c>
      <c r="B211" t="s">
        <v>115</v>
      </c>
      <c r="C211" t="s">
        <v>24</v>
      </c>
      <c r="D211" t="s">
        <v>61</v>
      </c>
      <c r="N211">
        <v>1</v>
      </c>
      <c r="O211" t="e">
        <f>Graslandonderhoud!D8</f>
        <v>#N/A</v>
      </c>
      <c r="P211" t="s">
        <v>289</v>
      </c>
      <c r="Q211" t="e">
        <f t="shared" si="4"/>
        <v>#N/A</v>
      </c>
    </row>
    <row r="212" spans="1:17" s="11" customFormat="1" x14ac:dyDescent="0.3">
      <c r="B212" s="11" t="s">
        <v>115</v>
      </c>
      <c r="C212" s="11">
        <f>N211</f>
        <v>1</v>
      </c>
      <c r="D212" s="11">
        <v>0</v>
      </c>
      <c r="E212" s="14"/>
      <c r="Q212" s="11" t="str">
        <f t="shared" si="4"/>
        <v/>
      </c>
    </row>
    <row r="213" spans="1:17" x14ac:dyDescent="0.3">
      <c r="A213" t="s">
        <v>290</v>
      </c>
      <c r="B213" t="s">
        <v>128</v>
      </c>
      <c r="C213" t="s">
        <v>291</v>
      </c>
      <c r="D213" t="s">
        <v>292</v>
      </c>
      <c r="E213" t="s">
        <v>293</v>
      </c>
      <c r="F213" t="s">
        <v>294</v>
      </c>
      <c r="G213" t="s">
        <v>295</v>
      </c>
      <c r="N213">
        <v>1</v>
      </c>
      <c r="O213" t="e">
        <f>Graslandonderhoud!D10</f>
        <v>#N/A</v>
      </c>
      <c r="P213" t="s">
        <v>421</v>
      </c>
      <c r="Q213" t="e">
        <f t="shared" si="4"/>
        <v>#N/A</v>
      </c>
    </row>
    <row r="214" spans="1:17" s="11" customFormat="1" x14ac:dyDescent="0.3">
      <c r="B214" s="11" t="s">
        <v>128</v>
      </c>
      <c r="C214" s="11">
        <v>0</v>
      </c>
      <c r="D214" s="11">
        <f>N213/2</f>
        <v>0.5</v>
      </c>
      <c r="E214" s="11">
        <f>N213</f>
        <v>1</v>
      </c>
      <c r="F214" s="11">
        <f>N213/2</f>
        <v>0.5</v>
      </c>
      <c r="G214" s="11">
        <v>0</v>
      </c>
      <c r="Q214" s="11" t="str">
        <f t="shared" si="4"/>
        <v/>
      </c>
    </row>
    <row r="215" spans="1:17" s="23" customFormat="1" ht="15" thickBot="1" x14ac:dyDescent="0.35">
      <c r="A215" s="22" t="s">
        <v>296</v>
      </c>
      <c r="N215" s="23">
        <f>SUM(N197:N214)</f>
        <v>8.5</v>
      </c>
      <c r="P215" s="23" t="str">
        <f>_xlfn.CONCAT(P197:P214)</f>
        <v xml:space="preserve">Zonder het geregeld beoordelen van uw zode weet u niet goed wat er gaande is op uw percelen en kan u dus ook niet tijdig ingrijpen met alle gevolgen vandien (lagere opbrengst, lagere voederwaarde, …). In sommige gevallen is een chemische onkruidbestrijding aan te raden om de de kwaliteit van de zode, en daarmee ook de opbrengst en voederwaarde veilig te stellen. Bij correct graslandbeheer zal een chemische bestrijding echter niet vaak nodig zijn en kan eventueel ook eerst gekeken worden naar mechanische oplossingen. Een plaatsspecifieke behandeling is altijd interessant omwille van het lager gebruik aan gewasbeschermingsmiddelen en kan bij aanwezigheid van gewenste klavers/kruiden eveneens helpen deze te sparen. Sommige onkruiden kunnen ook bestreden worden met een wiedeg of kan de verspreiding tegengehouden worden door het tijdig bloten van de weide. Doorzaaien helpt de kwaliteit van de zode op peil te houden en veronkruiding van openingen in de zode tegen te gaan. Het is echter niet steeds eenvoudig om doorzaai goed te laten slagen. Van zodra het aandeel goede grassen en klavers onder 60% dreigt te dalen is het tijd om het grasland te scheuren. Bodemverdichting opheffen is niet eenvoudig, probeer het daarom zo veel mogelijk te voorkomen. Houdt rekening met de draagkracht van de bodem en voer bewerkingen eventueel uit met een aangepaste bandendruk.Wanneer er niet aan mollenbestrijding wordt gedaan, riskeert men extra grondverontreiniging bij het oogsten met negatieve impact op de voederkwaliteit. Eveneens bieden molshopen kansen aan onkruiden om zich te vestigen. Het maaien van een najaarssnede is niet enkel belangrijk voor het winnen van extra ruwvoer. Voor grasland is het namelijk ook belangrijk dat het gras niet te lang de winter in gaat. Anders wordt de kans op vorstschade aanzienlijk groter. Een graslengte van 8 tot maximaal 10 centimeter is optimaal. Gaat het gras te kort de winter in, dan zal de hergroei in het volgende voorjaar minder vlot verlopen. </v>
      </c>
      <c r="Q215" s="23" t="e">
        <f>_xlfn.CONCAT(Q197:Q214)</f>
        <v>#N/A</v>
      </c>
    </row>
    <row r="216" spans="1:17" x14ac:dyDescent="0.3">
      <c r="Q216" t="str">
        <f t="shared" si="4"/>
        <v/>
      </c>
    </row>
    <row r="217" spans="1:17" s="11" customFormat="1" x14ac:dyDescent="0.3">
      <c r="A217" s="12" t="s">
        <v>81</v>
      </c>
      <c r="N217" s="12" t="s">
        <v>112</v>
      </c>
      <c r="O217" s="12" t="s">
        <v>21</v>
      </c>
      <c r="P217" s="12" t="s">
        <v>113</v>
      </c>
      <c r="Q217" s="12" t="s">
        <v>114</v>
      </c>
    </row>
    <row r="218" spans="1:17" x14ac:dyDescent="0.3">
      <c r="A218" t="s">
        <v>297</v>
      </c>
      <c r="B218" t="s">
        <v>115</v>
      </c>
      <c r="C218" t="s">
        <v>24</v>
      </c>
      <c r="D218" t="s">
        <v>61</v>
      </c>
      <c r="Q218" t="str">
        <f t="shared" si="4"/>
        <v/>
      </c>
    </row>
    <row r="219" spans="1:17" s="11" customFormat="1" x14ac:dyDescent="0.3">
      <c r="B219" s="11" t="s">
        <v>115</v>
      </c>
      <c r="Q219" s="11" t="str">
        <f t="shared" si="4"/>
        <v/>
      </c>
    </row>
    <row r="220" spans="1:17" x14ac:dyDescent="0.3">
      <c r="A220" t="s">
        <v>298</v>
      </c>
      <c r="B220" t="s">
        <v>128</v>
      </c>
      <c r="C220" t="s">
        <v>299</v>
      </c>
      <c r="D220" t="s">
        <v>300</v>
      </c>
      <c r="E220" t="s">
        <v>301</v>
      </c>
      <c r="F220" t="s">
        <v>302</v>
      </c>
      <c r="N220">
        <v>1</v>
      </c>
      <c r="O220" t="str">
        <f>Waterhuishouding!D3</f>
        <v>Ja</v>
      </c>
      <c r="P220" t="s">
        <v>303</v>
      </c>
      <c r="Q220" t="str">
        <f t="shared" si="4"/>
        <v xml:space="preserve">Beregening van grasland kan zeker zorgen voor een meeropbrengst, maar nog te vaak weegt de kostprijs van beregening niet op tegenover de haalbare meeropbrengst. Beregening om een blijvende achteruitgang van de graszode te voorkomen, houdt vaak een grotere meerwaarde in door het voorkomen van noodzakelijk scheuren. </v>
      </c>
    </row>
    <row r="221" spans="1:17" s="11" customFormat="1" x14ac:dyDescent="0.3">
      <c r="B221" s="11" t="s">
        <v>128</v>
      </c>
      <c r="C221" s="11">
        <v>0</v>
      </c>
      <c r="D221" s="11">
        <v>1</v>
      </c>
      <c r="E221" s="11">
        <v>1</v>
      </c>
      <c r="F221" s="11">
        <v>1</v>
      </c>
      <c r="Q221" s="11" t="str">
        <f t="shared" si="4"/>
        <v/>
      </c>
    </row>
    <row r="222" spans="1:17" x14ac:dyDescent="0.3">
      <c r="A222" t="s">
        <v>304</v>
      </c>
      <c r="B222" t="s">
        <v>115</v>
      </c>
      <c r="C222" t="s">
        <v>24</v>
      </c>
      <c r="D222" t="s">
        <v>61</v>
      </c>
      <c r="Q222" t="str">
        <f t="shared" si="4"/>
        <v/>
      </c>
    </row>
    <row r="223" spans="1:17" s="11" customFormat="1" x14ac:dyDescent="0.3">
      <c r="B223" s="11" t="s">
        <v>115</v>
      </c>
      <c r="Q223" s="11" t="str">
        <f t="shared" si="4"/>
        <v/>
      </c>
    </row>
    <row r="224" spans="1:17" x14ac:dyDescent="0.3">
      <c r="A224" t="s">
        <v>305</v>
      </c>
      <c r="B224" t="s">
        <v>115</v>
      </c>
      <c r="C224" t="s">
        <v>24</v>
      </c>
      <c r="D224" t="s">
        <v>61</v>
      </c>
      <c r="N224">
        <v>1</v>
      </c>
      <c r="O224" t="e">
        <f>Waterhuishouding!D5</f>
        <v>#N/A</v>
      </c>
      <c r="P224" t="s">
        <v>306</v>
      </c>
      <c r="Q224" t="e">
        <f t="shared" si="4"/>
        <v>#N/A</v>
      </c>
    </row>
    <row r="225" spans="1:17" s="11" customFormat="1" x14ac:dyDescent="0.3">
      <c r="B225" s="11" t="s">
        <v>115</v>
      </c>
      <c r="C225" s="11">
        <f>N224</f>
        <v>1</v>
      </c>
      <c r="D225" s="11">
        <v>0</v>
      </c>
      <c r="Q225" s="11" t="str">
        <f t="shared" si="4"/>
        <v/>
      </c>
    </row>
    <row r="226" spans="1:17" x14ac:dyDescent="0.3">
      <c r="A226" t="s">
        <v>307</v>
      </c>
      <c r="B226" t="s">
        <v>115</v>
      </c>
      <c r="C226" t="s">
        <v>24</v>
      </c>
      <c r="D226" t="s">
        <v>61</v>
      </c>
      <c r="Q226" t="str">
        <f t="shared" si="4"/>
        <v/>
      </c>
    </row>
    <row r="227" spans="1:17" s="11" customFormat="1" x14ac:dyDescent="0.3">
      <c r="B227" s="11" t="s">
        <v>115</v>
      </c>
      <c r="Q227" s="11" t="str">
        <f t="shared" si="4"/>
        <v/>
      </c>
    </row>
    <row r="228" spans="1:17" x14ac:dyDescent="0.3">
      <c r="A228" t="s">
        <v>308</v>
      </c>
      <c r="B228" t="s">
        <v>115</v>
      </c>
      <c r="C228" t="s">
        <v>24</v>
      </c>
      <c r="D228" t="s">
        <v>61</v>
      </c>
      <c r="N228">
        <v>1</v>
      </c>
      <c r="O228" t="e">
        <f>Waterhuishouding!D7</f>
        <v>#N/A</v>
      </c>
      <c r="P228" t="s">
        <v>309</v>
      </c>
      <c r="Q228" t="e">
        <f>IF(OR(O228="Nee",O228="",P228=""),"",P228)</f>
        <v>#N/A</v>
      </c>
    </row>
    <row r="229" spans="1:17" s="11" customFormat="1" x14ac:dyDescent="0.3">
      <c r="B229" s="11" t="s">
        <v>115</v>
      </c>
      <c r="C229" s="11">
        <f>N228</f>
        <v>1</v>
      </c>
      <c r="D229" s="11">
        <v>0</v>
      </c>
      <c r="Q229" s="11" t="str">
        <f t="shared" si="4"/>
        <v/>
      </c>
    </row>
    <row r="230" spans="1:17" x14ac:dyDescent="0.3">
      <c r="A230" t="s">
        <v>388</v>
      </c>
      <c r="B230" t="s">
        <v>115</v>
      </c>
      <c r="C230" t="s">
        <v>24</v>
      </c>
      <c r="D230" t="s">
        <v>61</v>
      </c>
      <c r="N230">
        <v>1</v>
      </c>
      <c r="O230" t="e">
        <f>Waterhuishouding!D8</f>
        <v>#N/A</v>
      </c>
      <c r="P230" t="s">
        <v>389</v>
      </c>
      <c r="Q230" t="e">
        <f>IF(OR(O230="Nee",O230="",P230=""),"",P230)</f>
        <v>#N/A</v>
      </c>
    </row>
    <row r="231" spans="1:17" x14ac:dyDescent="0.3">
      <c r="B231" s="11" t="s">
        <v>115</v>
      </c>
      <c r="C231" s="11">
        <f>N230</f>
        <v>1</v>
      </c>
      <c r="D231" s="11">
        <v>0</v>
      </c>
    </row>
    <row r="232" spans="1:17" s="24" customFormat="1" x14ac:dyDescent="0.3">
      <c r="A232" s="24" t="s">
        <v>310</v>
      </c>
      <c r="B232" s="24" t="s">
        <v>115</v>
      </c>
      <c r="C232" s="24" t="s">
        <v>24</v>
      </c>
      <c r="D232" s="24" t="s">
        <v>61</v>
      </c>
      <c r="N232" s="24">
        <v>1</v>
      </c>
      <c r="O232" s="24" t="e">
        <f>Waterhuishouding!D9</f>
        <v>#N/A</v>
      </c>
      <c r="P232" s="24" t="s">
        <v>311</v>
      </c>
      <c r="Q232" s="24" t="e">
        <f t="shared" si="4"/>
        <v>#N/A</v>
      </c>
    </row>
    <row r="233" spans="1:17" s="11" customFormat="1" x14ac:dyDescent="0.3">
      <c r="B233" s="11" t="s">
        <v>115</v>
      </c>
      <c r="C233" s="11">
        <f>N232</f>
        <v>1</v>
      </c>
      <c r="D233" s="11">
        <v>0</v>
      </c>
    </row>
    <row r="234" spans="1:17" s="22" customFormat="1" ht="15" thickBot="1" x14ac:dyDescent="0.35">
      <c r="A234" s="22" t="s">
        <v>312</v>
      </c>
      <c r="N234" s="22">
        <f>IF(Waterhuishouding!B2=Scoring!C218,Scoring!N220,0)+IF(Waterhuishouding!B4=Scoring!C222,Scoring!N224,0)+IF(Waterhuishouding!B6=Scoring!C226,Scoring!N228,0)+Scoring!N232+N230</f>
        <v>2</v>
      </c>
      <c r="P234" s="22" t="str">
        <f>_xlfn.CONCAT(P218:P233)</f>
        <v xml:space="preserve">Beregening van grasland kan zeker zorgen voor een meeropbrengst, maar nog te vaak weegt de kostprijs van beregening niet op tegenover de haalbare meeropbrengst. Beregening om een blijvende achteruitgang van de graszode te voorkomen, houdt vaak een grotere meerwaarde in door het voorkomen van noodzakelijk scheuren. Plasvorming heeft uiteraard een negatieve impact op de graszode en productiviteit zelf, maar werkt ook een slechte bodemstructuur in de hand. Bodemverdichting is echter vaak ook een deel van de oorzaak en kan worden tegengegaan met een graslandwoeler. Peilgestuurde drainage biedt grote voordelen naar het waterbeheer. Bij droogte kan de drainerende werking worden stopgezet, terwijl er bij te natte omstandigheden kan gedraineerd worden om veldwerkzaamheden mogelijk te maken. Net zoals peilgestuurde drainage helpen stuwtjes overmatige waterafvoer te voorkomen en kunnen ze helpen droogteproblematiek uit te stellen.Sommige grassoorten kunnen zich beter handhaven bij droogte dan Engels raaigras denk maar aan rietzwenkgras. Ook rode klaver kan op drogere percelen zeker een meerwaarde bieden. Door een geschikt zaaimengsel te kiezen kan de opbrengst van het perceel worden geoptimaliseerd. </v>
      </c>
      <c r="Q234" s="22" t="e">
        <f>_xlfn.CONCAT(Q218:Q233)</f>
        <v>#N/A</v>
      </c>
    </row>
  </sheetData>
  <sheetProtection algorithmName="SHA-512" hashValue="kj7tadt/I2xA1KyqtVO9fTlAjZSu7MSF2bF2a6BeEDLLylmOgH4/xdwcCNnBIgheOCExW9tHOEIfeQxs9WBDKQ==" saltValue="50WmEomFcfoXCzdURiFjug==" spinCount="100000" sheet="1" objects="1" scenarios="1" selectLockedCells="1"/>
  <phoneticPr fontId="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69072-5C03-4C57-978E-B16BA24AB1EE}">
  <sheetPr codeName="Blad12"/>
  <dimension ref="A1:AP366"/>
  <sheetViews>
    <sheetView topLeftCell="AQ1" workbookViewId="0">
      <selection activeCell="AP1" sqref="A1:AP1048576"/>
    </sheetView>
  </sheetViews>
  <sheetFormatPr defaultRowHeight="14.4" x14ac:dyDescent="0.3"/>
  <cols>
    <col min="1" max="24" width="0" hidden="1" customWidth="1"/>
    <col min="25" max="25" width="13.5546875" hidden="1" customWidth="1"/>
    <col min="26" max="26" width="14.6640625" hidden="1" customWidth="1"/>
    <col min="27" max="42" width="0" hidden="1" customWidth="1"/>
  </cols>
  <sheetData>
    <row r="1" spans="1:42" x14ac:dyDescent="0.3">
      <c r="A1" t="s">
        <v>115</v>
      </c>
      <c r="C1" t="s">
        <v>323</v>
      </c>
      <c r="E1" t="s">
        <v>92</v>
      </c>
      <c r="G1" t="s">
        <v>324</v>
      </c>
      <c r="I1" t="s">
        <v>325</v>
      </c>
      <c r="K1" t="s">
        <v>326</v>
      </c>
      <c r="M1" t="s">
        <v>3</v>
      </c>
      <c r="O1" t="s">
        <v>327</v>
      </c>
      <c r="R1" t="s">
        <v>328</v>
      </c>
      <c r="T1" t="s">
        <v>329</v>
      </c>
      <c r="V1" t="s">
        <v>330</v>
      </c>
      <c r="X1" t="s">
        <v>331</v>
      </c>
      <c r="Y1" t="s">
        <v>332</v>
      </c>
      <c r="Z1" t="s">
        <v>333</v>
      </c>
      <c r="AB1" t="s">
        <v>334</v>
      </c>
      <c r="AD1" t="s">
        <v>335</v>
      </c>
      <c r="AF1" t="s">
        <v>336</v>
      </c>
      <c r="AH1" t="s">
        <v>337</v>
      </c>
      <c r="AJ1" t="s">
        <v>338</v>
      </c>
      <c r="AL1" t="s">
        <v>339</v>
      </c>
      <c r="AN1" t="s">
        <v>340</v>
      </c>
      <c r="AP1" t="s">
        <v>341</v>
      </c>
    </row>
    <row r="2" spans="1:42" x14ac:dyDescent="0.3">
      <c r="A2" t="s">
        <v>24</v>
      </c>
      <c r="C2" s="1">
        <v>46023</v>
      </c>
      <c r="E2" t="s">
        <v>129</v>
      </c>
      <c r="G2" t="s">
        <v>100</v>
      </c>
      <c r="I2" t="s">
        <v>185</v>
      </c>
      <c r="K2" t="s">
        <v>199</v>
      </c>
      <c r="M2" t="s">
        <v>5</v>
      </c>
      <c r="O2" t="s">
        <v>342</v>
      </c>
      <c r="R2" t="s">
        <v>179</v>
      </c>
      <c r="T2" t="s">
        <v>206</v>
      </c>
      <c r="V2">
        <v>1</v>
      </c>
      <c r="X2">
        <v>1</v>
      </c>
      <c r="Y2" s="18" t="s">
        <v>400</v>
      </c>
      <c r="Z2" s="18" t="s">
        <v>404</v>
      </c>
      <c r="AB2" t="s">
        <v>259</v>
      </c>
      <c r="AD2">
        <v>-1</v>
      </c>
      <c r="AF2" t="s">
        <v>65</v>
      </c>
      <c r="AH2" t="s">
        <v>159</v>
      </c>
      <c r="AJ2" t="s">
        <v>321</v>
      </c>
      <c r="AL2" t="s">
        <v>8</v>
      </c>
      <c r="AN2" t="s">
        <v>4</v>
      </c>
      <c r="AP2" t="s">
        <v>299</v>
      </c>
    </row>
    <row r="3" spans="1:42" x14ac:dyDescent="0.3">
      <c r="A3" t="s">
        <v>61</v>
      </c>
      <c r="C3" s="1">
        <v>46024</v>
      </c>
      <c r="E3" t="s">
        <v>35</v>
      </c>
      <c r="G3" t="s">
        <v>101</v>
      </c>
      <c r="I3" t="s">
        <v>186</v>
      </c>
      <c r="K3" t="s">
        <v>200</v>
      </c>
      <c r="M3" t="s">
        <v>343</v>
      </c>
      <c r="O3" t="s">
        <v>344</v>
      </c>
      <c r="R3" t="s">
        <v>180</v>
      </c>
      <c r="T3" t="s">
        <v>207</v>
      </c>
      <c r="V3">
        <v>2</v>
      </c>
      <c r="X3">
        <v>0.75</v>
      </c>
      <c r="Y3" s="17" t="s">
        <v>401</v>
      </c>
      <c r="Z3" s="17" t="s">
        <v>405</v>
      </c>
      <c r="AB3" t="s">
        <v>260</v>
      </c>
      <c r="AD3">
        <v>0</v>
      </c>
      <c r="AF3" t="s">
        <v>168</v>
      </c>
      <c r="AH3" t="s">
        <v>160</v>
      </c>
      <c r="AJ3" t="s">
        <v>345</v>
      </c>
      <c r="AL3" t="s">
        <v>145</v>
      </c>
      <c r="AN3" t="s">
        <v>346</v>
      </c>
      <c r="AP3" t="s">
        <v>300</v>
      </c>
    </row>
    <row r="4" spans="1:42" x14ac:dyDescent="0.3">
      <c r="C4" s="1">
        <v>46025</v>
      </c>
      <c r="E4" t="s">
        <v>33</v>
      </c>
      <c r="G4" t="s">
        <v>102</v>
      </c>
      <c r="I4" t="s">
        <v>187</v>
      </c>
      <c r="K4" t="s">
        <v>201</v>
      </c>
      <c r="O4" t="s">
        <v>347</v>
      </c>
      <c r="R4" t="s">
        <v>181</v>
      </c>
      <c r="T4" t="s">
        <v>208</v>
      </c>
      <c r="V4">
        <v>3</v>
      </c>
      <c r="X4">
        <v>0.5</v>
      </c>
      <c r="Y4" s="6" t="s">
        <v>402</v>
      </c>
      <c r="Z4" s="6" t="s">
        <v>406</v>
      </c>
      <c r="AB4" t="s">
        <v>261</v>
      </c>
      <c r="AD4">
        <v>1</v>
      </c>
      <c r="AF4" t="s">
        <v>169</v>
      </c>
      <c r="AH4" t="s">
        <v>161</v>
      </c>
      <c r="AL4" t="s">
        <v>147</v>
      </c>
      <c r="AP4" t="s">
        <v>301</v>
      </c>
    </row>
    <row r="5" spans="1:42" x14ac:dyDescent="0.3">
      <c r="C5" s="1">
        <v>46026</v>
      </c>
      <c r="E5" t="s">
        <v>130</v>
      </c>
      <c r="G5" t="s">
        <v>103</v>
      </c>
      <c r="I5" t="s">
        <v>188</v>
      </c>
      <c r="K5" t="s">
        <v>202</v>
      </c>
      <c r="O5" t="s">
        <v>316</v>
      </c>
      <c r="R5" t="s">
        <v>182</v>
      </c>
      <c r="T5" t="s">
        <v>209</v>
      </c>
      <c r="V5">
        <v>4</v>
      </c>
      <c r="X5">
        <v>0.25</v>
      </c>
      <c r="Y5" s="4" t="s">
        <v>348</v>
      </c>
      <c r="Z5" s="4" t="s">
        <v>349</v>
      </c>
      <c r="AB5" t="s">
        <v>262</v>
      </c>
      <c r="AD5">
        <v>2</v>
      </c>
      <c r="AF5" t="s">
        <v>170</v>
      </c>
      <c r="AH5" t="s">
        <v>55</v>
      </c>
    </row>
    <row r="6" spans="1:42" x14ac:dyDescent="0.3">
      <c r="C6" s="1">
        <v>46027</v>
      </c>
      <c r="E6" t="s">
        <v>131</v>
      </c>
      <c r="G6" t="s">
        <v>104</v>
      </c>
      <c r="I6" t="s">
        <v>189</v>
      </c>
      <c r="K6" t="s">
        <v>203</v>
      </c>
      <c r="O6" t="s">
        <v>350</v>
      </c>
      <c r="R6" t="s">
        <v>183</v>
      </c>
      <c r="T6" t="s">
        <v>210</v>
      </c>
      <c r="V6">
        <v>5</v>
      </c>
      <c r="X6">
        <v>0</v>
      </c>
      <c r="Y6" s="19" t="s">
        <v>403</v>
      </c>
      <c r="Z6" s="19" t="s">
        <v>407</v>
      </c>
      <c r="AB6" t="s">
        <v>263</v>
      </c>
      <c r="AD6">
        <v>3</v>
      </c>
      <c r="AH6" t="s">
        <v>162</v>
      </c>
    </row>
    <row r="7" spans="1:42" x14ac:dyDescent="0.3">
      <c r="C7" s="1">
        <v>46028</v>
      </c>
      <c r="E7" t="s">
        <v>132</v>
      </c>
      <c r="G7" t="s">
        <v>105</v>
      </c>
      <c r="I7" t="s">
        <v>190</v>
      </c>
      <c r="O7" t="s">
        <v>351</v>
      </c>
      <c r="T7" t="s">
        <v>211</v>
      </c>
      <c r="V7">
        <v>6</v>
      </c>
      <c r="AB7" t="s">
        <v>264</v>
      </c>
      <c r="AD7">
        <v>4</v>
      </c>
    </row>
    <row r="8" spans="1:42" x14ac:dyDescent="0.3">
      <c r="C8" s="1">
        <v>46029</v>
      </c>
      <c r="G8" t="s">
        <v>43</v>
      </c>
      <c r="O8" t="s">
        <v>352</v>
      </c>
      <c r="T8" t="s">
        <v>212</v>
      </c>
      <c r="V8">
        <v>7</v>
      </c>
      <c r="AD8">
        <v>5</v>
      </c>
    </row>
    <row r="9" spans="1:42" x14ac:dyDescent="0.3">
      <c r="C9" s="1">
        <v>46030</v>
      </c>
      <c r="G9" t="s">
        <v>106</v>
      </c>
      <c r="O9" t="s">
        <v>353</v>
      </c>
      <c r="AD9">
        <v>6</v>
      </c>
    </row>
    <row r="10" spans="1:42" x14ac:dyDescent="0.3">
      <c r="C10" s="1">
        <v>46031</v>
      </c>
      <c r="O10" t="s">
        <v>354</v>
      </c>
      <c r="AD10">
        <v>7</v>
      </c>
    </row>
    <row r="11" spans="1:42" x14ac:dyDescent="0.3">
      <c r="C11" s="1">
        <v>46032</v>
      </c>
      <c r="AD11">
        <v>8</v>
      </c>
    </row>
    <row r="12" spans="1:42" x14ac:dyDescent="0.3">
      <c r="C12" s="1">
        <v>46033</v>
      </c>
      <c r="AD12">
        <v>9</v>
      </c>
    </row>
    <row r="13" spans="1:42" x14ac:dyDescent="0.3">
      <c r="C13" s="1">
        <v>46034</v>
      </c>
      <c r="AD13">
        <v>10</v>
      </c>
    </row>
    <row r="14" spans="1:42" x14ac:dyDescent="0.3">
      <c r="C14" s="1">
        <v>46035</v>
      </c>
    </row>
    <row r="15" spans="1:42" x14ac:dyDescent="0.3">
      <c r="C15" s="1">
        <v>46036</v>
      </c>
    </row>
    <row r="16" spans="1:42" x14ac:dyDescent="0.3">
      <c r="C16" s="1">
        <v>46037</v>
      </c>
    </row>
    <row r="17" spans="3:3" x14ac:dyDescent="0.3">
      <c r="C17" s="1">
        <v>46038</v>
      </c>
    </row>
    <row r="18" spans="3:3" x14ac:dyDescent="0.3">
      <c r="C18" s="1">
        <v>46039</v>
      </c>
    </row>
    <row r="19" spans="3:3" x14ac:dyDescent="0.3">
      <c r="C19" s="1">
        <v>46040</v>
      </c>
    </row>
    <row r="20" spans="3:3" x14ac:dyDescent="0.3">
      <c r="C20" s="1">
        <v>46041</v>
      </c>
    </row>
    <row r="21" spans="3:3" x14ac:dyDescent="0.3">
      <c r="C21" s="1">
        <v>46042</v>
      </c>
    </row>
    <row r="22" spans="3:3" x14ac:dyDescent="0.3">
      <c r="C22" s="1">
        <v>46043</v>
      </c>
    </row>
    <row r="23" spans="3:3" x14ac:dyDescent="0.3">
      <c r="C23" s="1">
        <v>46044</v>
      </c>
    </row>
    <row r="24" spans="3:3" x14ac:dyDescent="0.3">
      <c r="C24" s="1">
        <v>46045</v>
      </c>
    </row>
    <row r="25" spans="3:3" x14ac:dyDescent="0.3">
      <c r="C25" s="1">
        <v>46046</v>
      </c>
    </row>
    <row r="26" spans="3:3" x14ac:dyDescent="0.3">
      <c r="C26" s="1">
        <v>46047</v>
      </c>
    </row>
    <row r="27" spans="3:3" x14ac:dyDescent="0.3">
      <c r="C27" s="1">
        <v>46048</v>
      </c>
    </row>
    <row r="28" spans="3:3" x14ac:dyDescent="0.3">
      <c r="C28" s="1">
        <v>46049</v>
      </c>
    </row>
    <row r="29" spans="3:3" x14ac:dyDescent="0.3">
      <c r="C29" s="1">
        <v>46050</v>
      </c>
    </row>
    <row r="30" spans="3:3" x14ac:dyDescent="0.3">
      <c r="C30" s="1">
        <v>46051</v>
      </c>
    </row>
    <row r="31" spans="3:3" x14ac:dyDescent="0.3">
      <c r="C31" s="1">
        <v>46052</v>
      </c>
    </row>
    <row r="32" spans="3:3" x14ac:dyDescent="0.3">
      <c r="C32" s="1">
        <v>46053</v>
      </c>
    </row>
    <row r="33" spans="3:3" x14ac:dyDescent="0.3">
      <c r="C33" s="1">
        <v>46054</v>
      </c>
    </row>
    <row r="34" spans="3:3" x14ac:dyDescent="0.3">
      <c r="C34" s="1">
        <v>46055</v>
      </c>
    </row>
    <row r="35" spans="3:3" x14ac:dyDescent="0.3">
      <c r="C35" s="1">
        <v>46056</v>
      </c>
    </row>
    <row r="36" spans="3:3" x14ac:dyDescent="0.3">
      <c r="C36" s="1">
        <v>46057</v>
      </c>
    </row>
    <row r="37" spans="3:3" x14ac:dyDescent="0.3">
      <c r="C37" s="1">
        <v>46058</v>
      </c>
    </row>
    <row r="38" spans="3:3" x14ac:dyDescent="0.3">
      <c r="C38" s="1">
        <v>46059</v>
      </c>
    </row>
    <row r="39" spans="3:3" x14ac:dyDescent="0.3">
      <c r="C39" s="1">
        <v>46060</v>
      </c>
    </row>
    <row r="40" spans="3:3" x14ac:dyDescent="0.3">
      <c r="C40" s="1">
        <v>46061</v>
      </c>
    </row>
    <row r="41" spans="3:3" x14ac:dyDescent="0.3">
      <c r="C41" s="1">
        <v>46062</v>
      </c>
    </row>
    <row r="42" spans="3:3" x14ac:dyDescent="0.3">
      <c r="C42" s="1">
        <v>46063</v>
      </c>
    </row>
    <row r="43" spans="3:3" x14ac:dyDescent="0.3">
      <c r="C43" s="1">
        <v>46064</v>
      </c>
    </row>
    <row r="44" spans="3:3" x14ac:dyDescent="0.3">
      <c r="C44" s="1">
        <v>46065</v>
      </c>
    </row>
    <row r="45" spans="3:3" x14ac:dyDescent="0.3">
      <c r="C45" s="1">
        <v>46066</v>
      </c>
    </row>
    <row r="46" spans="3:3" x14ac:dyDescent="0.3">
      <c r="C46" s="1">
        <v>46067</v>
      </c>
    </row>
    <row r="47" spans="3:3" x14ac:dyDescent="0.3">
      <c r="C47" s="1">
        <v>46068</v>
      </c>
    </row>
    <row r="48" spans="3:3" x14ac:dyDescent="0.3">
      <c r="C48" s="1">
        <v>46069</v>
      </c>
    </row>
    <row r="49" spans="3:3" x14ac:dyDescent="0.3">
      <c r="C49" s="1">
        <v>46070</v>
      </c>
    </row>
    <row r="50" spans="3:3" x14ac:dyDescent="0.3">
      <c r="C50" s="1">
        <v>46071</v>
      </c>
    </row>
    <row r="51" spans="3:3" x14ac:dyDescent="0.3">
      <c r="C51" s="1">
        <v>46072</v>
      </c>
    </row>
    <row r="52" spans="3:3" x14ac:dyDescent="0.3">
      <c r="C52" s="1">
        <v>46073</v>
      </c>
    </row>
    <row r="53" spans="3:3" x14ac:dyDescent="0.3">
      <c r="C53" s="1">
        <v>46074</v>
      </c>
    </row>
    <row r="54" spans="3:3" x14ac:dyDescent="0.3">
      <c r="C54" s="1">
        <v>46075</v>
      </c>
    </row>
    <row r="55" spans="3:3" x14ac:dyDescent="0.3">
      <c r="C55" s="1">
        <v>46076</v>
      </c>
    </row>
    <row r="56" spans="3:3" x14ac:dyDescent="0.3">
      <c r="C56" s="1">
        <v>46077</v>
      </c>
    </row>
    <row r="57" spans="3:3" x14ac:dyDescent="0.3">
      <c r="C57" s="1">
        <v>46078</v>
      </c>
    </row>
    <row r="58" spans="3:3" x14ac:dyDescent="0.3">
      <c r="C58" s="1">
        <v>46079</v>
      </c>
    </row>
    <row r="59" spans="3:3" x14ac:dyDescent="0.3">
      <c r="C59" s="1">
        <v>46080</v>
      </c>
    </row>
    <row r="60" spans="3:3" x14ac:dyDescent="0.3">
      <c r="C60" s="1">
        <v>46081</v>
      </c>
    </row>
    <row r="61" spans="3:3" x14ac:dyDescent="0.3">
      <c r="C61" s="1">
        <v>46082</v>
      </c>
    </row>
    <row r="62" spans="3:3" x14ac:dyDescent="0.3">
      <c r="C62" s="1">
        <v>46083</v>
      </c>
    </row>
    <row r="63" spans="3:3" x14ac:dyDescent="0.3">
      <c r="C63" s="1">
        <v>46084</v>
      </c>
    </row>
    <row r="64" spans="3:3" x14ac:dyDescent="0.3">
      <c r="C64" s="1">
        <v>46085</v>
      </c>
    </row>
    <row r="65" spans="3:3" x14ac:dyDescent="0.3">
      <c r="C65" s="1">
        <v>46086</v>
      </c>
    </row>
    <row r="66" spans="3:3" x14ac:dyDescent="0.3">
      <c r="C66" s="1">
        <v>46087</v>
      </c>
    </row>
    <row r="67" spans="3:3" x14ac:dyDescent="0.3">
      <c r="C67" s="1">
        <v>46088</v>
      </c>
    </row>
    <row r="68" spans="3:3" x14ac:dyDescent="0.3">
      <c r="C68" s="1">
        <v>46089</v>
      </c>
    </row>
    <row r="69" spans="3:3" x14ac:dyDescent="0.3">
      <c r="C69" s="1">
        <v>46090</v>
      </c>
    </row>
    <row r="70" spans="3:3" x14ac:dyDescent="0.3">
      <c r="C70" s="1">
        <v>46091</v>
      </c>
    </row>
    <row r="71" spans="3:3" x14ac:dyDescent="0.3">
      <c r="C71" s="1">
        <v>46092</v>
      </c>
    </row>
    <row r="72" spans="3:3" x14ac:dyDescent="0.3">
      <c r="C72" s="1">
        <v>46093</v>
      </c>
    </row>
    <row r="73" spans="3:3" x14ac:dyDescent="0.3">
      <c r="C73" s="1">
        <v>46094</v>
      </c>
    </row>
    <row r="74" spans="3:3" x14ac:dyDescent="0.3">
      <c r="C74" s="1">
        <v>46095</v>
      </c>
    </row>
    <row r="75" spans="3:3" x14ac:dyDescent="0.3">
      <c r="C75" s="1">
        <v>46096</v>
      </c>
    </row>
    <row r="76" spans="3:3" x14ac:dyDescent="0.3">
      <c r="C76" s="1">
        <v>46097</v>
      </c>
    </row>
    <row r="77" spans="3:3" x14ac:dyDescent="0.3">
      <c r="C77" s="1">
        <v>46098</v>
      </c>
    </row>
    <row r="78" spans="3:3" x14ac:dyDescent="0.3">
      <c r="C78" s="1">
        <v>46099</v>
      </c>
    </row>
    <row r="79" spans="3:3" x14ac:dyDescent="0.3">
      <c r="C79" s="1">
        <v>46100</v>
      </c>
    </row>
    <row r="80" spans="3:3" x14ac:dyDescent="0.3">
      <c r="C80" s="1">
        <v>46101</v>
      </c>
    </row>
    <row r="81" spans="3:3" x14ac:dyDescent="0.3">
      <c r="C81" s="1">
        <v>46102</v>
      </c>
    </row>
    <row r="82" spans="3:3" x14ac:dyDescent="0.3">
      <c r="C82" s="1">
        <v>46103</v>
      </c>
    </row>
    <row r="83" spans="3:3" x14ac:dyDescent="0.3">
      <c r="C83" s="1">
        <v>46104</v>
      </c>
    </row>
    <row r="84" spans="3:3" x14ac:dyDescent="0.3">
      <c r="C84" s="1">
        <v>46105</v>
      </c>
    </row>
    <row r="85" spans="3:3" x14ac:dyDescent="0.3">
      <c r="C85" s="1">
        <v>46106</v>
      </c>
    </row>
    <row r="86" spans="3:3" x14ac:dyDescent="0.3">
      <c r="C86" s="1">
        <v>46107</v>
      </c>
    </row>
    <row r="87" spans="3:3" x14ac:dyDescent="0.3">
      <c r="C87" s="1">
        <v>46108</v>
      </c>
    </row>
    <row r="88" spans="3:3" x14ac:dyDescent="0.3">
      <c r="C88" s="1">
        <v>46109</v>
      </c>
    </row>
    <row r="89" spans="3:3" x14ac:dyDescent="0.3">
      <c r="C89" s="1">
        <v>46110</v>
      </c>
    </row>
    <row r="90" spans="3:3" x14ac:dyDescent="0.3">
      <c r="C90" s="1">
        <v>46111</v>
      </c>
    </row>
    <row r="91" spans="3:3" x14ac:dyDescent="0.3">
      <c r="C91" s="1">
        <v>46112</v>
      </c>
    </row>
    <row r="92" spans="3:3" x14ac:dyDescent="0.3">
      <c r="C92" s="1">
        <v>46113</v>
      </c>
    </row>
    <row r="93" spans="3:3" x14ac:dyDescent="0.3">
      <c r="C93" s="1">
        <v>46114</v>
      </c>
    </row>
    <row r="94" spans="3:3" x14ac:dyDescent="0.3">
      <c r="C94" s="1">
        <v>46115</v>
      </c>
    </row>
    <row r="95" spans="3:3" x14ac:dyDescent="0.3">
      <c r="C95" s="1">
        <v>46116</v>
      </c>
    </row>
    <row r="96" spans="3:3" x14ac:dyDescent="0.3">
      <c r="C96" s="1">
        <v>46117</v>
      </c>
    </row>
    <row r="97" spans="3:3" x14ac:dyDescent="0.3">
      <c r="C97" s="1">
        <v>46118</v>
      </c>
    </row>
    <row r="98" spans="3:3" x14ac:dyDescent="0.3">
      <c r="C98" s="1">
        <v>46119</v>
      </c>
    </row>
    <row r="99" spans="3:3" x14ac:dyDescent="0.3">
      <c r="C99" s="1">
        <v>46120</v>
      </c>
    </row>
    <row r="100" spans="3:3" x14ac:dyDescent="0.3">
      <c r="C100" s="1">
        <v>46121</v>
      </c>
    </row>
    <row r="101" spans="3:3" x14ac:dyDescent="0.3">
      <c r="C101" s="1">
        <v>46122</v>
      </c>
    </row>
    <row r="102" spans="3:3" x14ac:dyDescent="0.3">
      <c r="C102" s="1">
        <v>46123</v>
      </c>
    </row>
    <row r="103" spans="3:3" x14ac:dyDescent="0.3">
      <c r="C103" s="1">
        <v>46124</v>
      </c>
    </row>
    <row r="104" spans="3:3" x14ac:dyDescent="0.3">
      <c r="C104" s="1">
        <v>46125</v>
      </c>
    </row>
    <row r="105" spans="3:3" x14ac:dyDescent="0.3">
      <c r="C105" s="1">
        <v>46126</v>
      </c>
    </row>
    <row r="106" spans="3:3" x14ac:dyDescent="0.3">
      <c r="C106" s="1">
        <v>46127</v>
      </c>
    </row>
    <row r="107" spans="3:3" x14ac:dyDescent="0.3">
      <c r="C107" s="1">
        <v>46128</v>
      </c>
    </row>
    <row r="108" spans="3:3" x14ac:dyDescent="0.3">
      <c r="C108" s="1">
        <v>46129</v>
      </c>
    </row>
    <row r="109" spans="3:3" x14ac:dyDescent="0.3">
      <c r="C109" s="1">
        <v>46130</v>
      </c>
    </row>
    <row r="110" spans="3:3" x14ac:dyDescent="0.3">
      <c r="C110" s="1">
        <v>46131</v>
      </c>
    </row>
    <row r="111" spans="3:3" x14ac:dyDescent="0.3">
      <c r="C111" s="1">
        <v>46132</v>
      </c>
    </row>
    <row r="112" spans="3:3" x14ac:dyDescent="0.3">
      <c r="C112" s="1">
        <v>46133</v>
      </c>
    </row>
    <row r="113" spans="3:3" x14ac:dyDescent="0.3">
      <c r="C113" s="1">
        <v>46134</v>
      </c>
    </row>
    <row r="114" spans="3:3" x14ac:dyDescent="0.3">
      <c r="C114" s="1">
        <v>46135</v>
      </c>
    </row>
    <row r="115" spans="3:3" x14ac:dyDescent="0.3">
      <c r="C115" s="1">
        <v>46136</v>
      </c>
    </row>
    <row r="116" spans="3:3" x14ac:dyDescent="0.3">
      <c r="C116" s="1">
        <v>46137</v>
      </c>
    </row>
    <row r="117" spans="3:3" x14ac:dyDescent="0.3">
      <c r="C117" s="1">
        <v>46138</v>
      </c>
    </row>
    <row r="118" spans="3:3" x14ac:dyDescent="0.3">
      <c r="C118" s="1">
        <v>46139</v>
      </c>
    </row>
    <row r="119" spans="3:3" x14ac:dyDescent="0.3">
      <c r="C119" s="1">
        <v>46140</v>
      </c>
    </row>
    <row r="120" spans="3:3" x14ac:dyDescent="0.3">
      <c r="C120" s="1">
        <v>46141</v>
      </c>
    </row>
    <row r="121" spans="3:3" x14ac:dyDescent="0.3">
      <c r="C121" s="1">
        <v>46142</v>
      </c>
    </row>
    <row r="122" spans="3:3" x14ac:dyDescent="0.3">
      <c r="C122" s="1">
        <v>46143</v>
      </c>
    </row>
    <row r="123" spans="3:3" x14ac:dyDescent="0.3">
      <c r="C123" s="1">
        <v>46144</v>
      </c>
    </row>
    <row r="124" spans="3:3" x14ac:dyDescent="0.3">
      <c r="C124" s="1">
        <v>46145</v>
      </c>
    </row>
    <row r="125" spans="3:3" x14ac:dyDescent="0.3">
      <c r="C125" s="1">
        <v>46146</v>
      </c>
    </row>
    <row r="126" spans="3:3" x14ac:dyDescent="0.3">
      <c r="C126" s="1">
        <v>46147</v>
      </c>
    </row>
    <row r="127" spans="3:3" x14ac:dyDescent="0.3">
      <c r="C127" s="1">
        <v>46148</v>
      </c>
    </row>
    <row r="128" spans="3:3" x14ac:dyDescent="0.3">
      <c r="C128" s="1">
        <v>46149</v>
      </c>
    </row>
    <row r="129" spans="3:3" x14ac:dyDescent="0.3">
      <c r="C129" s="1">
        <v>46150</v>
      </c>
    </row>
    <row r="130" spans="3:3" x14ac:dyDescent="0.3">
      <c r="C130" s="1">
        <v>46151</v>
      </c>
    </row>
    <row r="131" spans="3:3" x14ac:dyDescent="0.3">
      <c r="C131" s="1">
        <v>46152</v>
      </c>
    </row>
    <row r="132" spans="3:3" x14ac:dyDescent="0.3">
      <c r="C132" s="1">
        <v>46153</v>
      </c>
    </row>
    <row r="133" spans="3:3" x14ac:dyDescent="0.3">
      <c r="C133" s="1">
        <v>46154</v>
      </c>
    </row>
    <row r="134" spans="3:3" x14ac:dyDescent="0.3">
      <c r="C134" s="1">
        <v>46155</v>
      </c>
    </row>
    <row r="135" spans="3:3" x14ac:dyDescent="0.3">
      <c r="C135" s="1">
        <v>46156</v>
      </c>
    </row>
    <row r="136" spans="3:3" x14ac:dyDescent="0.3">
      <c r="C136" s="1">
        <v>46157</v>
      </c>
    </row>
    <row r="137" spans="3:3" x14ac:dyDescent="0.3">
      <c r="C137" s="1">
        <v>46158</v>
      </c>
    </row>
    <row r="138" spans="3:3" x14ac:dyDescent="0.3">
      <c r="C138" s="1">
        <v>46159</v>
      </c>
    </row>
    <row r="139" spans="3:3" x14ac:dyDescent="0.3">
      <c r="C139" s="1">
        <v>46160</v>
      </c>
    </row>
    <row r="140" spans="3:3" x14ac:dyDescent="0.3">
      <c r="C140" s="1">
        <v>46161</v>
      </c>
    </row>
    <row r="141" spans="3:3" x14ac:dyDescent="0.3">
      <c r="C141" s="1">
        <v>46162</v>
      </c>
    </row>
    <row r="142" spans="3:3" x14ac:dyDescent="0.3">
      <c r="C142" s="1">
        <v>46163</v>
      </c>
    </row>
    <row r="143" spans="3:3" x14ac:dyDescent="0.3">
      <c r="C143" s="1">
        <v>46164</v>
      </c>
    </row>
    <row r="144" spans="3:3" x14ac:dyDescent="0.3">
      <c r="C144" s="1">
        <v>46165</v>
      </c>
    </row>
    <row r="145" spans="3:3" x14ac:dyDescent="0.3">
      <c r="C145" s="1">
        <v>46166</v>
      </c>
    </row>
    <row r="146" spans="3:3" x14ac:dyDescent="0.3">
      <c r="C146" s="1">
        <v>46167</v>
      </c>
    </row>
    <row r="147" spans="3:3" x14ac:dyDescent="0.3">
      <c r="C147" s="1">
        <v>46168</v>
      </c>
    </row>
    <row r="148" spans="3:3" x14ac:dyDescent="0.3">
      <c r="C148" s="1">
        <v>46169</v>
      </c>
    </row>
    <row r="149" spans="3:3" x14ac:dyDescent="0.3">
      <c r="C149" s="1">
        <v>46170</v>
      </c>
    </row>
    <row r="150" spans="3:3" x14ac:dyDescent="0.3">
      <c r="C150" s="1">
        <v>46171</v>
      </c>
    </row>
    <row r="151" spans="3:3" x14ac:dyDescent="0.3">
      <c r="C151" s="1">
        <v>46172</v>
      </c>
    </row>
    <row r="152" spans="3:3" x14ac:dyDescent="0.3">
      <c r="C152" s="1">
        <v>46173</v>
      </c>
    </row>
    <row r="153" spans="3:3" x14ac:dyDescent="0.3">
      <c r="C153" s="1">
        <v>46174</v>
      </c>
    </row>
    <row r="154" spans="3:3" x14ac:dyDescent="0.3">
      <c r="C154" s="1">
        <v>46175</v>
      </c>
    </row>
    <row r="155" spans="3:3" x14ac:dyDescent="0.3">
      <c r="C155" s="1">
        <v>46176</v>
      </c>
    </row>
    <row r="156" spans="3:3" x14ac:dyDescent="0.3">
      <c r="C156" s="1">
        <v>46177</v>
      </c>
    </row>
    <row r="157" spans="3:3" x14ac:dyDescent="0.3">
      <c r="C157" s="1">
        <v>46178</v>
      </c>
    </row>
    <row r="158" spans="3:3" x14ac:dyDescent="0.3">
      <c r="C158" s="1">
        <v>46179</v>
      </c>
    </row>
    <row r="159" spans="3:3" x14ac:dyDescent="0.3">
      <c r="C159" s="1">
        <v>46180</v>
      </c>
    </row>
    <row r="160" spans="3:3" x14ac:dyDescent="0.3">
      <c r="C160" s="1">
        <v>46181</v>
      </c>
    </row>
    <row r="161" spans="3:3" x14ac:dyDescent="0.3">
      <c r="C161" s="1">
        <v>46182</v>
      </c>
    </row>
    <row r="162" spans="3:3" x14ac:dyDescent="0.3">
      <c r="C162" s="1">
        <v>46183</v>
      </c>
    </row>
    <row r="163" spans="3:3" x14ac:dyDescent="0.3">
      <c r="C163" s="1">
        <v>46184</v>
      </c>
    </row>
    <row r="164" spans="3:3" x14ac:dyDescent="0.3">
      <c r="C164" s="1">
        <v>46185</v>
      </c>
    </row>
    <row r="165" spans="3:3" x14ac:dyDescent="0.3">
      <c r="C165" s="1">
        <v>46186</v>
      </c>
    </row>
    <row r="166" spans="3:3" x14ac:dyDescent="0.3">
      <c r="C166" s="1">
        <v>46187</v>
      </c>
    </row>
    <row r="167" spans="3:3" x14ac:dyDescent="0.3">
      <c r="C167" s="1">
        <v>46188</v>
      </c>
    </row>
    <row r="168" spans="3:3" x14ac:dyDescent="0.3">
      <c r="C168" s="1">
        <v>46189</v>
      </c>
    </row>
    <row r="169" spans="3:3" x14ac:dyDescent="0.3">
      <c r="C169" s="1">
        <v>46190</v>
      </c>
    </row>
    <row r="170" spans="3:3" x14ac:dyDescent="0.3">
      <c r="C170" s="1">
        <v>46191</v>
      </c>
    </row>
    <row r="171" spans="3:3" x14ac:dyDescent="0.3">
      <c r="C171" s="1">
        <v>46192</v>
      </c>
    </row>
    <row r="172" spans="3:3" x14ac:dyDescent="0.3">
      <c r="C172" s="1">
        <v>46193</v>
      </c>
    </row>
    <row r="173" spans="3:3" x14ac:dyDescent="0.3">
      <c r="C173" s="1">
        <v>46194</v>
      </c>
    </row>
    <row r="174" spans="3:3" x14ac:dyDescent="0.3">
      <c r="C174" s="1">
        <v>46195</v>
      </c>
    </row>
    <row r="175" spans="3:3" x14ac:dyDescent="0.3">
      <c r="C175" s="1">
        <v>46196</v>
      </c>
    </row>
    <row r="176" spans="3:3" x14ac:dyDescent="0.3">
      <c r="C176" s="1">
        <v>46197</v>
      </c>
    </row>
    <row r="177" spans="3:3" x14ac:dyDescent="0.3">
      <c r="C177" s="1">
        <v>46198</v>
      </c>
    </row>
    <row r="178" spans="3:3" x14ac:dyDescent="0.3">
      <c r="C178" s="1">
        <v>46199</v>
      </c>
    </row>
    <row r="179" spans="3:3" x14ac:dyDescent="0.3">
      <c r="C179" s="1">
        <v>46200</v>
      </c>
    </row>
    <row r="180" spans="3:3" x14ac:dyDescent="0.3">
      <c r="C180" s="1">
        <v>46201</v>
      </c>
    </row>
    <row r="181" spans="3:3" x14ac:dyDescent="0.3">
      <c r="C181" s="1">
        <v>46202</v>
      </c>
    </row>
    <row r="182" spans="3:3" x14ac:dyDescent="0.3">
      <c r="C182" s="1">
        <v>46203</v>
      </c>
    </row>
    <row r="183" spans="3:3" x14ac:dyDescent="0.3">
      <c r="C183" s="1">
        <v>46204</v>
      </c>
    </row>
    <row r="184" spans="3:3" x14ac:dyDescent="0.3">
      <c r="C184" s="1">
        <v>46205</v>
      </c>
    </row>
    <row r="185" spans="3:3" x14ac:dyDescent="0.3">
      <c r="C185" s="1">
        <v>46206</v>
      </c>
    </row>
    <row r="186" spans="3:3" x14ac:dyDescent="0.3">
      <c r="C186" s="1">
        <v>46207</v>
      </c>
    </row>
    <row r="187" spans="3:3" x14ac:dyDescent="0.3">
      <c r="C187" s="1">
        <v>46208</v>
      </c>
    </row>
    <row r="188" spans="3:3" x14ac:dyDescent="0.3">
      <c r="C188" s="1">
        <v>46209</v>
      </c>
    </row>
    <row r="189" spans="3:3" x14ac:dyDescent="0.3">
      <c r="C189" s="1">
        <v>46210</v>
      </c>
    </row>
    <row r="190" spans="3:3" x14ac:dyDescent="0.3">
      <c r="C190" s="1">
        <v>46211</v>
      </c>
    </row>
    <row r="191" spans="3:3" x14ac:dyDescent="0.3">
      <c r="C191" s="1">
        <v>46212</v>
      </c>
    </row>
    <row r="192" spans="3:3" x14ac:dyDescent="0.3">
      <c r="C192" s="1">
        <v>46213</v>
      </c>
    </row>
    <row r="193" spans="3:3" x14ac:dyDescent="0.3">
      <c r="C193" s="1">
        <v>46214</v>
      </c>
    </row>
    <row r="194" spans="3:3" x14ac:dyDescent="0.3">
      <c r="C194" s="1">
        <v>46215</v>
      </c>
    </row>
    <row r="195" spans="3:3" x14ac:dyDescent="0.3">
      <c r="C195" s="1">
        <v>46216</v>
      </c>
    </row>
    <row r="196" spans="3:3" x14ac:dyDescent="0.3">
      <c r="C196" s="1">
        <v>46217</v>
      </c>
    </row>
    <row r="197" spans="3:3" x14ac:dyDescent="0.3">
      <c r="C197" s="1">
        <v>46218</v>
      </c>
    </row>
    <row r="198" spans="3:3" x14ac:dyDescent="0.3">
      <c r="C198" s="1">
        <v>46219</v>
      </c>
    </row>
    <row r="199" spans="3:3" x14ac:dyDescent="0.3">
      <c r="C199" s="1">
        <v>46220</v>
      </c>
    </row>
    <row r="200" spans="3:3" x14ac:dyDescent="0.3">
      <c r="C200" s="1">
        <v>46221</v>
      </c>
    </row>
    <row r="201" spans="3:3" x14ac:dyDescent="0.3">
      <c r="C201" s="1">
        <v>46222</v>
      </c>
    </row>
    <row r="202" spans="3:3" x14ac:dyDescent="0.3">
      <c r="C202" s="1">
        <v>46223</v>
      </c>
    </row>
    <row r="203" spans="3:3" x14ac:dyDescent="0.3">
      <c r="C203" s="1">
        <v>46224</v>
      </c>
    </row>
    <row r="204" spans="3:3" x14ac:dyDescent="0.3">
      <c r="C204" s="1">
        <v>46225</v>
      </c>
    </row>
    <row r="205" spans="3:3" x14ac:dyDescent="0.3">
      <c r="C205" s="1">
        <v>46226</v>
      </c>
    </row>
    <row r="206" spans="3:3" x14ac:dyDescent="0.3">
      <c r="C206" s="1">
        <v>46227</v>
      </c>
    </row>
    <row r="207" spans="3:3" x14ac:dyDescent="0.3">
      <c r="C207" s="1">
        <v>46228</v>
      </c>
    </row>
    <row r="208" spans="3:3" x14ac:dyDescent="0.3">
      <c r="C208" s="1">
        <v>46229</v>
      </c>
    </row>
    <row r="209" spans="3:3" x14ac:dyDescent="0.3">
      <c r="C209" s="1">
        <v>46230</v>
      </c>
    </row>
    <row r="210" spans="3:3" x14ac:dyDescent="0.3">
      <c r="C210" s="1">
        <v>46231</v>
      </c>
    </row>
    <row r="211" spans="3:3" x14ac:dyDescent="0.3">
      <c r="C211" s="1">
        <v>46232</v>
      </c>
    </row>
    <row r="212" spans="3:3" x14ac:dyDescent="0.3">
      <c r="C212" s="1">
        <v>46233</v>
      </c>
    </row>
    <row r="213" spans="3:3" x14ac:dyDescent="0.3">
      <c r="C213" s="1">
        <v>46234</v>
      </c>
    </row>
    <row r="214" spans="3:3" x14ac:dyDescent="0.3">
      <c r="C214" s="1">
        <v>46235</v>
      </c>
    </row>
    <row r="215" spans="3:3" x14ac:dyDescent="0.3">
      <c r="C215" s="1">
        <v>46236</v>
      </c>
    </row>
    <row r="216" spans="3:3" x14ac:dyDescent="0.3">
      <c r="C216" s="1">
        <v>46237</v>
      </c>
    </row>
    <row r="217" spans="3:3" x14ac:dyDescent="0.3">
      <c r="C217" s="1">
        <v>46238</v>
      </c>
    </row>
    <row r="218" spans="3:3" x14ac:dyDescent="0.3">
      <c r="C218" s="1">
        <v>46239</v>
      </c>
    </row>
    <row r="219" spans="3:3" x14ac:dyDescent="0.3">
      <c r="C219" s="1">
        <v>46240</v>
      </c>
    </row>
    <row r="220" spans="3:3" x14ac:dyDescent="0.3">
      <c r="C220" s="1">
        <v>46241</v>
      </c>
    </row>
    <row r="221" spans="3:3" x14ac:dyDescent="0.3">
      <c r="C221" s="1">
        <v>46242</v>
      </c>
    </row>
    <row r="222" spans="3:3" x14ac:dyDescent="0.3">
      <c r="C222" s="1">
        <v>46243</v>
      </c>
    </row>
    <row r="223" spans="3:3" x14ac:dyDescent="0.3">
      <c r="C223" s="1">
        <v>46244</v>
      </c>
    </row>
    <row r="224" spans="3:3" x14ac:dyDescent="0.3">
      <c r="C224" s="1">
        <v>46245</v>
      </c>
    </row>
    <row r="225" spans="3:3" x14ac:dyDescent="0.3">
      <c r="C225" s="1">
        <v>46246</v>
      </c>
    </row>
    <row r="226" spans="3:3" x14ac:dyDescent="0.3">
      <c r="C226" s="1">
        <v>46247</v>
      </c>
    </row>
    <row r="227" spans="3:3" x14ac:dyDescent="0.3">
      <c r="C227" s="1">
        <v>46248</v>
      </c>
    </row>
    <row r="228" spans="3:3" x14ac:dyDescent="0.3">
      <c r="C228" s="1">
        <v>46249</v>
      </c>
    </row>
    <row r="229" spans="3:3" x14ac:dyDescent="0.3">
      <c r="C229" s="1">
        <v>46250</v>
      </c>
    </row>
    <row r="230" spans="3:3" x14ac:dyDescent="0.3">
      <c r="C230" s="1">
        <v>46251</v>
      </c>
    </row>
    <row r="231" spans="3:3" x14ac:dyDescent="0.3">
      <c r="C231" s="1">
        <v>46252</v>
      </c>
    </row>
    <row r="232" spans="3:3" x14ac:dyDescent="0.3">
      <c r="C232" s="1">
        <v>46253</v>
      </c>
    </row>
    <row r="233" spans="3:3" x14ac:dyDescent="0.3">
      <c r="C233" s="1">
        <v>46254</v>
      </c>
    </row>
    <row r="234" spans="3:3" x14ac:dyDescent="0.3">
      <c r="C234" s="1">
        <v>46255</v>
      </c>
    </row>
    <row r="235" spans="3:3" x14ac:dyDescent="0.3">
      <c r="C235" s="1">
        <v>46256</v>
      </c>
    </row>
    <row r="236" spans="3:3" x14ac:dyDescent="0.3">
      <c r="C236" s="1">
        <v>46257</v>
      </c>
    </row>
    <row r="237" spans="3:3" x14ac:dyDescent="0.3">
      <c r="C237" s="1">
        <v>46258</v>
      </c>
    </row>
    <row r="238" spans="3:3" x14ac:dyDescent="0.3">
      <c r="C238" s="1">
        <v>46259</v>
      </c>
    </row>
    <row r="239" spans="3:3" x14ac:dyDescent="0.3">
      <c r="C239" s="1">
        <v>46260</v>
      </c>
    </row>
    <row r="240" spans="3:3" x14ac:dyDescent="0.3">
      <c r="C240" s="1">
        <v>46261</v>
      </c>
    </row>
    <row r="241" spans="3:3" x14ac:dyDescent="0.3">
      <c r="C241" s="1">
        <v>46262</v>
      </c>
    </row>
    <row r="242" spans="3:3" x14ac:dyDescent="0.3">
      <c r="C242" s="1">
        <v>46263</v>
      </c>
    </row>
    <row r="243" spans="3:3" x14ac:dyDescent="0.3">
      <c r="C243" s="1">
        <v>46264</v>
      </c>
    </row>
    <row r="244" spans="3:3" x14ac:dyDescent="0.3">
      <c r="C244" s="1">
        <v>46265</v>
      </c>
    </row>
    <row r="245" spans="3:3" x14ac:dyDescent="0.3">
      <c r="C245" s="1">
        <v>46266</v>
      </c>
    </row>
    <row r="246" spans="3:3" x14ac:dyDescent="0.3">
      <c r="C246" s="1">
        <v>46267</v>
      </c>
    </row>
    <row r="247" spans="3:3" x14ac:dyDescent="0.3">
      <c r="C247" s="1">
        <v>46268</v>
      </c>
    </row>
    <row r="248" spans="3:3" x14ac:dyDescent="0.3">
      <c r="C248" s="1">
        <v>46269</v>
      </c>
    </row>
    <row r="249" spans="3:3" x14ac:dyDescent="0.3">
      <c r="C249" s="1">
        <v>46270</v>
      </c>
    </row>
    <row r="250" spans="3:3" x14ac:dyDescent="0.3">
      <c r="C250" s="1">
        <v>46271</v>
      </c>
    </row>
    <row r="251" spans="3:3" x14ac:dyDescent="0.3">
      <c r="C251" s="1">
        <v>46272</v>
      </c>
    </row>
    <row r="252" spans="3:3" x14ac:dyDescent="0.3">
      <c r="C252" s="1">
        <v>46273</v>
      </c>
    </row>
    <row r="253" spans="3:3" x14ac:dyDescent="0.3">
      <c r="C253" s="1">
        <v>46274</v>
      </c>
    </row>
    <row r="254" spans="3:3" x14ac:dyDescent="0.3">
      <c r="C254" s="1">
        <v>46275</v>
      </c>
    </row>
    <row r="255" spans="3:3" x14ac:dyDescent="0.3">
      <c r="C255" s="1">
        <v>46276</v>
      </c>
    </row>
    <row r="256" spans="3:3" x14ac:dyDescent="0.3">
      <c r="C256" s="1">
        <v>46277</v>
      </c>
    </row>
    <row r="257" spans="3:3" x14ac:dyDescent="0.3">
      <c r="C257" s="1">
        <v>46278</v>
      </c>
    </row>
    <row r="258" spans="3:3" x14ac:dyDescent="0.3">
      <c r="C258" s="1">
        <v>46279</v>
      </c>
    </row>
    <row r="259" spans="3:3" x14ac:dyDescent="0.3">
      <c r="C259" s="1">
        <v>46280</v>
      </c>
    </row>
    <row r="260" spans="3:3" x14ac:dyDescent="0.3">
      <c r="C260" s="1">
        <v>46281</v>
      </c>
    </row>
    <row r="261" spans="3:3" x14ac:dyDescent="0.3">
      <c r="C261" s="1">
        <v>46282</v>
      </c>
    </row>
    <row r="262" spans="3:3" x14ac:dyDescent="0.3">
      <c r="C262" s="1">
        <v>46283</v>
      </c>
    </row>
    <row r="263" spans="3:3" x14ac:dyDescent="0.3">
      <c r="C263" s="1">
        <v>46284</v>
      </c>
    </row>
    <row r="264" spans="3:3" x14ac:dyDescent="0.3">
      <c r="C264" s="1">
        <v>46285</v>
      </c>
    </row>
    <row r="265" spans="3:3" x14ac:dyDescent="0.3">
      <c r="C265" s="1">
        <v>46286</v>
      </c>
    </row>
    <row r="266" spans="3:3" x14ac:dyDescent="0.3">
      <c r="C266" s="1">
        <v>46287</v>
      </c>
    </row>
    <row r="267" spans="3:3" x14ac:dyDescent="0.3">
      <c r="C267" s="1">
        <v>46288</v>
      </c>
    </row>
    <row r="268" spans="3:3" x14ac:dyDescent="0.3">
      <c r="C268" s="1">
        <v>46289</v>
      </c>
    </row>
    <row r="269" spans="3:3" x14ac:dyDescent="0.3">
      <c r="C269" s="1">
        <v>46290</v>
      </c>
    </row>
    <row r="270" spans="3:3" x14ac:dyDescent="0.3">
      <c r="C270" s="1">
        <v>46291</v>
      </c>
    </row>
    <row r="271" spans="3:3" x14ac:dyDescent="0.3">
      <c r="C271" s="1">
        <v>46292</v>
      </c>
    </row>
    <row r="272" spans="3:3" x14ac:dyDescent="0.3">
      <c r="C272" s="1">
        <v>46293</v>
      </c>
    </row>
    <row r="273" spans="3:3" x14ac:dyDescent="0.3">
      <c r="C273" s="1">
        <v>46294</v>
      </c>
    </row>
    <row r="274" spans="3:3" x14ac:dyDescent="0.3">
      <c r="C274" s="1">
        <v>46295</v>
      </c>
    </row>
    <row r="275" spans="3:3" x14ac:dyDescent="0.3">
      <c r="C275" s="1">
        <v>46296</v>
      </c>
    </row>
    <row r="276" spans="3:3" x14ac:dyDescent="0.3">
      <c r="C276" s="1">
        <v>46297</v>
      </c>
    </row>
    <row r="277" spans="3:3" x14ac:dyDescent="0.3">
      <c r="C277" s="1">
        <v>46298</v>
      </c>
    </row>
    <row r="278" spans="3:3" x14ac:dyDescent="0.3">
      <c r="C278" s="1">
        <v>46299</v>
      </c>
    </row>
    <row r="279" spans="3:3" x14ac:dyDescent="0.3">
      <c r="C279" s="1">
        <v>46300</v>
      </c>
    </row>
    <row r="280" spans="3:3" x14ac:dyDescent="0.3">
      <c r="C280" s="1">
        <v>46301</v>
      </c>
    </row>
    <row r="281" spans="3:3" x14ac:dyDescent="0.3">
      <c r="C281" s="1">
        <v>46302</v>
      </c>
    </row>
    <row r="282" spans="3:3" x14ac:dyDescent="0.3">
      <c r="C282" s="1">
        <v>46303</v>
      </c>
    </row>
    <row r="283" spans="3:3" x14ac:dyDescent="0.3">
      <c r="C283" s="1">
        <v>46304</v>
      </c>
    </row>
    <row r="284" spans="3:3" x14ac:dyDescent="0.3">
      <c r="C284" s="1">
        <v>46305</v>
      </c>
    </row>
    <row r="285" spans="3:3" x14ac:dyDescent="0.3">
      <c r="C285" s="1">
        <v>46306</v>
      </c>
    </row>
    <row r="286" spans="3:3" x14ac:dyDescent="0.3">
      <c r="C286" s="1">
        <v>46307</v>
      </c>
    </row>
    <row r="287" spans="3:3" x14ac:dyDescent="0.3">
      <c r="C287" s="1">
        <v>46308</v>
      </c>
    </row>
    <row r="288" spans="3:3" x14ac:dyDescent="0.3">
      <c r="C288" s="1">
        <v>46309</v>
      </c>
    </row>
    <row r="289" spans="3:3" x14ac:dyDescent="0.3">
      <c r="C289" s="1">
        <v>46310</v>
      </c>
    </row>
    <row r="290" spans="3:3" x14ac:dyDescent="0.3">
      <c r="C290" s="1">
        <v>46311</v>
      </c>
    </row>
    <row r="291" spans="3:3" x14ac:dyDescent="0.3">
      <c r="C291" s="1">
        <v>46312</v>
      </c>
    </row>
    <row r="292" spans="3:3" x14ac:dyDescent="0.3">
      <c r="C292" s="1">
        <v>46313</v>
      </c>
    </row>
    <row r="293" spans="3:3" x14ac:dyDescent="0.3">
      <c r="C293" s="1">
        <v>46314</v>
      </c>
    </row>
    <row r="294" spans="3:3" x14ac:dyDescent="0.3">
      <c r="C294" s="1">
        <v>46315</v>
      </c>
    </row>
    <row r="295" spans="3:3" x14ac:dyDescent="0.3">
      <c r="C295" s="1">
        <v>46316</v>
      </c>
    </row>
    <row r="296" spans="3:3" x14ac:dyDescent="0.3">
      <c r="C296" s="1">
        <v>46317</v>
      </c>
    </row>
    <row r="297" spans="3:3" x14ac:dyDescent="0.3">
      <c r="C297" s="1">
        <v>46318</v>
      </c>
    </row>
    <row r="298" spans="3:3" x14ac:dyDescent="0.3">
      <c r="C298" s="1">
        <v>46319</v>
      </c>
    </row>
    <row r="299" spans="3:3" x14ac:dyDescent="0.3">
      <c r="C299" s="1">
        <v>46320</v>
      </c>
    </row>
    <row r="300" spans="3:3" x14ac:dyDescent="0.3">
      <c r="C300" s="1">
        <v>46321</v>
      </c>
    </row>
    <row r="301" spans="3:3" x14ac:dyDescent="0.3">
      <c r="C301" s="1">
        <v>46322</v>
      </c>
    </row>
    <row r="302" spans="3:3" x14ac:dyDescent="0.3">
      <c r="C302" s="1">
        <v>46323</v>
      </c>
    </row>
    <row r="303" spans="3:3" x14ac:dyDescent="0.3">
      <c r="C303" s="1">
        <v>46324</v>
      </c>
    </row>
    <row r="304" spans="3:3" x14ac:dyDescent="0.3">
      <c r="C304" s="1">
        <v>46325</v>
      </c>
    </row>
    <row r="305" spans="3:3" x14ac:dyDescent="0.3">
      <c r="C305" s="1">
        <v>46326</v>
      </c>
    </row>
    <row r="306" spans="3:3" x14ac:dyDescent="0.3">
      <c r="C306" s="1">
        <v>46327</v>
      </c>
    </row>
    <row r="307" spans="3:3" x14ac:dyDescent="0.3">
      <c r="C307" s="1">
        <v>46328</v>
      </c>
    </row>
    <row r="308" spans="3:3" x14ac:dyDescent="0.3">
      <c r="C308" s="1">
        <v>46329</v>
      </c>
    </row>
    <row r="309" spans="3:3" x14ac:dyDescent="0.3">
      <c r="C309" s="1">
        <v>46330</v>
      </c>
    </row>
    <row r="310" spans="3:3" x14ac:dyDescent="0.3">
      <c r="C310" s="1">
        <v>46331</v>
      </c>
    </row>
    <row r="311" spans="3:3" x14ac:dyDescent="0.3">
      <c r="C311" s="1">
        <v>46332</v>
      </c>
    </row>
    <row r="312" spans="3:3" x14ac:dyDescent="0.3">
      <c r="C312" s="1">
        <v>46333</v>
      </c>
    </row>
    <row r="313" spans="3:3" x14ac:dyDescent="0.3">
      <c r="C313" s="1">
        <v>46334</v>
      </c>
    </row>
    <row r="314" spans="3:3" x14ac:dyDescent="0.3">
      <c r="C314" s="1">
        <v>46335</v>
      </c>
    </row>
    <row r="315" spans="3:3" x14ac:dyDescent="0.3">
      <c r="C315" s="1">
        <v>46336</v>
      </c>
    </row>
    <row r="316" spans="3:3" x14ac:dyDescent="0.3">
      <c r="C316" s="1">
        <v>46337</v>
      </c>
    </row>
    <row r="317" spans="3:3" x14ac:dyDescent="0.3">
      <c r="C317" s="1">
        <v>46338</v>
      </c>
    </row>
    <row r="318" spans="3:3" x14ac:dyDescent="0.3">
      <c r="C318" s="1">
        <v>46339</v>
      </c>
    </row>
    <row r="319" spans="3:3" x14ac:dyDescent="0.3">
      <c r="C319" s="1">
        <v>46340</v>
      </c>
    </row>
    <row r="320" spans="3:3" x14ac:dyDescent="0.3">
      <c r="C320" s="1">
        <v>46341</v>
      </c>
    </row>
    <row r="321" spans="3:3" x14ac:dyDescent="0.3">
      <c r="C321" s="1">
        <v>46342</v>
      </c>
    </row>
    <row r="322" spans="3:3" x14ac:dyDescent="0.3">
      <c r="C322" s="1">
        <v>46343</v>
      </c>
    </row>
    <row r="323" spans="3:3" x14ac:dyDescent="0.3">
      <c r="C323" s="1">
        <v>46344</v>
      </c>
    </row>
    <row r="324" spans="3:3" x14ac:dyDescent="0.3">
      <c r="C324" s="1">
        <v>46345</v>
      </c>
    </row>
    <row r="325" spans="3:3" x14ac:dyDescent="0.3">
      <c r="C325" s="1">
        <v>46346</v>
      </c>
    </row>
    <row r="326" spans="3:3" x14ac:dyDescent="0.3">
      <c r="C326" s="1">
        <v>46347</v>
      </c>
    </row>
    <row r="327" spans="3:3" x14ac:dyDescent="0.3">
      <c r="C327" s="1">
        <v>46348</v>
      </c>
    </row>
    <row r="328" spans="3:3" x14ac:dyDescent="0.3">
      <c r="C328" s="1">
        <v>46349</v>
      </c>
    </row>
    <row r="329" spans="3:3" x14ac:dyDescent="0.3">
      <c r="C329" s="1">
        <v>46350</v>
      </c>
    </row>
    <row r="330" spans="3:3" x14ac:dyDescent="0.3">
      <c r="C330" s="1">
        <v>46351</v>
      </c>
    </row>
    <row r="331" spans="3:3" x14ac:dyDescent="0.3">
      <c r="C331" s="1">
        <v>46352</v>
      </c>
    </row>
    <row r="332" spans="3:3" x14ac:dyDescent="0.3">
      <c r="C332" s="1">
        <v>46353</v>
      </c>
    </row>
    <row r="333" spans="3:3" x14ac:dyDescent="0.3">
      <c r="C333" s="1">
        <v>46354</v>
      </c>
    </row>
    <row r="334" spans="3:3" x14ac:dyDescent="0.3">
      <c r="C334" s="1">
        <v>46355</v>
      </c>
    </row>
    <row r="335" spans="3:3" x14ac:dyDescent="0.3">
      <c r="C335" s="1">
        <v>46356</v>
      </c>
    </row>
    <row r="336" spans="3:3" x14ac:dyDescent="0.3">
      <c r="C336" s="1">
        <v>46357</v>
      </c>
    </row>
    <row r="337" spans="3:3" x14ac:dyDescent="0.3">
      <c r="C337" s="1">
        <v>46358</v>
      </c>
    </row>
    <row r="338" spans="3:3" x14ac:dyDescent="0.3">
      <c r="C338" s="1">
        <v>46359</v>
      </c>
    </row>
    <row r="339" spans="3:3" x14ac:dyDescent="0.3">
      <c r="C339" s="1">
        <v>46360</v>
      </c>
    </row>
    <row r="340" spans="3:3" x14ac:dyDescent="0.3">
      <c r="C340" s="1">
        <v>46361</v>
      </c>
    </row>
    <row r="341" spans="3:3" x14ac:dyDescent="0.3">
      <c r="C341" s="1">
        <v>46362</v>
      </c>
    </row>
    <row r="342" spans="3:3" x14ac:dyDescent="0.3">
      <c r="C342" s="1">
        <v>46363</v>
      </c>
    </row>
    <row r="343" spans="3:3" x14ac:dyDescent="0.3">
      <c r="C343" s="1">
        <v>46364</v>
      </c>
    </row>
    <row r="344" spans="3:3" x14ac:dyDescent="0.3">
      <c r="C344" s="1">
        <v>46365</v>
      </c>
    </row>
    <row r="345" spans="3:3" x14ac:dyDescent="0.3">
      <c r="C345" s="1">
        <v>46366</v>
      </c>
    </row>
    <row r="346" spans="3:3" x14ac:dyDescent="0.3">
      <c r="C346" s="1">
        <v>46367</v>
      </c>
    </row>
    <row r="347" spans="3:3" x14ac:dyDescent="0.3">
      <c r="C347" s="1">
        <v>46368</v>
      </c>
    </row>
    <row r="348" spans="3:3" x14ac:dyDescent="0.3">
      <c r="C348" s="1">
        <v>46369</v>
      </c>
    </row>
    <row r="349" spans="3:3" x14ac:dyDescent="0.3">
      <c r="C349" s="1">
        <v>46370</v>
      </c>
    </row>
    <row r="350" spans="3:3" x14ac:dyDescent="0.3">
      <c r="C350" s="1">
        <v>46371</v>
      </c>
    </row>
    <row r="351" spans="3:3" x14ac:dyDescent="0.3">
      <c r="C351" s="1">
        <v>46372</v>
      </c>
    </row>
    <row r="352" spans="3:3" x14ac:dyDescent="0.3">
      <c r="C352" s="1">
        <v>46373</v>
      </c>
    </row>
    <row r="353" spans="3:3" x14ac:dyDescent="0.3">
      <c r="C353" s="1">
        <v>46374</v>
      </c>
    </row>
    <row r="354" spans="3:3" x14ac:dyDescent="0.3">
      <c r="C354" s="1">
        <v>46375</v>
      </c>
    </row>
    <row r="355" spans="3:3" x14ac:dyDescent="0.3">
      <c r="C355" s="1">
        <v>46376</v>
      </c>
    </row>
    <row r="356" spans="3:3" x14ac:dyDescent="0.3">
      <c r="C356" s="1">
        <v>46377</v>
      </c>
    </row>
    <row r="357" spans="3:3" x14ac:dyDescent="0.3">
      <c r="C357" s="1">
        <v>46378</v>
      </c>
    </row>
    <row r="358" spans="3:3" x14ac:dyDescent="0.3">
      <c r="C358" s="1">
        <v>46379</v>
      </c>
    </row>
    <row r="359" spans="3:3" x14ac:dyDescent="0.3">
      <c r="C359" s="1">
        <v>46380</v>
      </c>
    </row>
    <row r="360" spans="3:3" x14ac:dyDescent="0.3">
      <c r="C360" s="1">
        <v>46381</v>
      </c>
    </row>
    <row r="361" spans="3:3" x14ac:dyDescent="0.3">
      <c r="C361" s="1">
        <v>46382</v>
      </c>
    </row>
    <row r="362" spans="3:3" x14ac:dyDescent="0.3">
      <c r="C362" s="1">
        <v>46383</v>
      </c>
    </row>
    <row r="363" spans="3:3" x14ac:dyDescent="0.3">
      <c r="C363" s="1">
        <v>46384</v>
      </c>
    </row>
    <row r="364" spans="3:3" x14ac:dyDescent="0.3">
      <c r="C364" s="1">
        <v>46385</v>
      </c>
    </row>
    <row r="365" spans="3:3" x14ac:dyDescent="0.3">
      <c r="C365" s="1">
        <v>46386</v>
      </c>
    </row>
    <row r="366" spans="3:3" x14ac:dyDescent="0.3">
      <c r="C366" s="1">
        <v>46387</v>
      </c>
    </row>
  </sheetData>
  <sheetProtection algorithmName="SHA-512" hashValue="mDBEw+SMa3R+ZwcvMoS+eQF9pRlsdJ0imvcOww2D+Vo4ex0NT6EQZQOHpzZZd9EKcsZyaX44rCFtduP3ZHNjsQ==" saltValue="jklnRff5c3dhfqByGBcjbA==" spinCount="100000" sheet="1" objects="1" scenarios="1" selectLockedCells="1"/>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316f08-dc61-4a7a-b6c4-6fb9b2ecea4f">
      <Terms xmlns="http://schemas.microsoft.com/office/infopath/2007/PartnerControls"/>
    </lcf76f155ced4ddcb4097134ff3c332f>
    <TaxCatchAll xmlns="195c0b3a-d8a0-4e42-b18c-dc820311926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87797F6F16824ABB785C89DA3AF73D" ma:contentTypeVersion="16" ma:contentTypeDescription="Crée un document." ma:contentTypeScope="" ma:versionID="34f43eb0a00fec45b74076e155eb56c5">
  <xsd:schema xmlns:xsd="http://www.w3.org/2001/XMLSchema" xmlns:xs="http://www.w3.org/2001/XMLSchema" xmlns:p="http://schemas.microsoft.com/office/2006/metadata/properties" xmlns:ns2="32316f08-dc61-4a7a-b6c4-6fb9b2ecea4f" xmlns:ns3="195c0b3a-d8a0-4e42-b18c-dc820311926f" targetNamespace="http://schemas.microsoft.com/office/2006/metadata/properties" ma:root="true" ma:fieldsID="3354f09c5db37b3978dab9b1e4737217" ns2:_="" ns3:_="">
    <xsd:import namespace="32316f08-dc61-4a7a-b6c4-6fb9b2ecea4f"/>
    <xsd:import namespace="195c0b3a-d8a0-4e42-b18c-dc82031192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16f08-dc61-4a7a-b6c4-6fb9b2ecea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0b8fd057-f497-4875-ab44-d7d4ba58925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c0b3a-d8a0-4e42-b18c-dc820311926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7be3c6f-5d1d-452a-b4f2-dcceff3fd9c4}" ma:internalName="TaxCatchAll" ma:showField="CatchAllData" ma:web="195c0b3a-d8a0-4e42-b18c-dc820311926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09F6CC-BBA2-43DC-B550-548B8344A50D}">
  <ds:schemaRefs>
    <ds:schemaRef ds:uri="http://schemas.microsoft.com/office/2006/metadata/properties"/>
    <ds:schemaRef ds:uri="http://schemas.microsoft.com/office/infopath/2007/PartnerControls"/>
    <ds:schemaRef ds:uri="32316f08-dc61-4a7a-b6c4-6fb9b2ecea4f"/>
    <ds:schemaRef ds:uri="195c0b3a-d8a0-4e42-b18c-dc820311926f"/>
  </ds:schemaRefs>
</ds:datastoreItem>
</file>

<file path=customXml/itemProps2.xml><?xml version="1.0" encoding="utf-8"?>
<ds:datastoreItem xmlns:ds="http://schemas.openxmlformats.org/officeDocument/2006/customXml" ds:itemID="{7E34DF5A-79DF-4FD2-9764-B50FEC27E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16f08-dc61-4a7a-b6c4-6fb9b2ecea4f"/>
    <ds:schemaRef ds:uri="195c0b3a-d8a0-4e42-b18c-dc82031192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50A406-AF8C-4AC5-AE61-28C0AF89645C}">
  <ds:schemaRefs>
    <ds:schemaRef ds:uri="http://schemas.microsoft.com/DataMashup"/>
  </ds:schemaRefs>
</ds:datastoreItem>
</file>

<file path=customXml/itemProps4.xml><?xml version="1.0" encoding="utf-8"?>
<ds:datastoreItem xmlns:ds="http://schemas.openxmlformats.org/officeDocument/2006/customXml" ds:itemID="{1D685D8F-6630-4B59-B505-21D67091E1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Handleiding</vt:lpstr>
      <vt:lpstr>Algemeen</vt:lpstr>
      <vt:lpstr>Zaai</vt:lpstr>
      <vt:lpstr>Nutriëntenbeheer</vt:lpstr>
      <vt:lpstr>Oogst</vt:lpstr>
      <vt:lpstr>Weidegang</vt:lpstr>
      <vt:lpstr>Kwaliteit graskuil</vt:lpstr>
      <vt:lpstr>In-uitkuilen</vt:lpstr>
      <vt:lpstr>Graslandonderhoud</vt:lpstr>
      <vt:lpstr>Waterhuishouding</vt:lpstr>
      <vt:lpstr>Graskompas</vt:lpstr>
      <vt:lpstr>Scoring</vt:lpstr>
      <vt:lpstr>Lijsten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 Keppens</dc:creator>
  <cp:keywords/>
  <dc:description/>
  <cp:lastModifiedBy>Lore Luys</cp:lastModifiedBy>
  <cp:revision/>
  <cp:lastPrinted>2026-06-24T16:10:00Z</cp:lastPrinted>
  <dcterms:created xsi:type="dcterms:W3CDTF">2025-07-01T09:31:14Z</dcterms:created>
  <dcterms:modified xsi:type="dcterms:W3CDTF">2026-10-07T10:51:59Z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0x0101000287797F6F16824ABB785C89DA3AF73D</vt:lpwstr>
  </property>
  <property fmtid="{D5CDD505-2E9C-101B-9397-08002B2CF9AE}" pid="3" name="MediaServiceImageTags">
    <vt:lpwstr/>
  </property>
</Properties>
</file>