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5.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6.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7.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vlvzw.sharepoint.com/sites/PVLVzw/Documents partages/General/Tools/"/>
    </mc:Choice>
  </mc:AlternateContent>
  <xr:revisionPtr revIDLastSave="0" documentId="14_{40957B20-77B1-4897-9C79-1718F644C8FD}" xr6:coauthVersionLast="47" xr6:coauthVersionMax="47" xr10:uidLastSave="{00000000-0000-0000-0000-000000000000}"/>
  <workbookProtection workbookAlgorithmName="SHA-512" workbookHashValue="6mMnc606mZRCpWy+v5Ot91MA/ellmuJAkdbmyRb0FPPg5X6EfvaPkDFc4fnnb1plP/ShsdfEpoZRCN55kmZQNg==" workbookSaltValue="X5+vsYyCF6Iyi8J6oSsj5w==" workbookSpinCount="100000" lockStructure="1"/>
  <bookViews>
    <workbookView xWindow="-28920" yWindow="-120" windowWidth="29040" windowHeight="15720" activeTab="2" xr2:uid="{1525FFA6-BFDD-4AF4-87F9-F2780CF58DA6}"/>
  </bookViews>
  <sheets>
    <sheet name="Handleiding" sheetId="43" r:id="rId1"/>
    <sheet name="Te gebruiken meststoffen" sheetId="7" r:id="rId2"/>
    <sheet name="Perceel_1" sheetId="22" r:id="rId3"/>
    <sheet name="Perceel_2" sheetId="48" r:id="rId4"/>
    <sheet name="Perceel_3" sheetId="49" r:id="rId5"/>
    <sheet name="Perceel_4" sheetId="50" r:id="rId6"/>
    <sheet name="Perceel_5" sheetId="51" r:id="rId7"/>
    <sheet name="Regels in te bouwen" sheetId="17" state="hidden" r:id="rId8"/>
    <sheet name="Algemene adviezen" sheetId="9" state="hidden" r:id="rId9"/>
    <sheet name="Lijsten en tabellen" sheetId="2" state="hidden" r:id="rId10"/>
    <sheet name="Meststoffenlijst" sheetId="3" state="hidden" r:id="rId11"/>
  </sheets>
  <definedNames>
    <definedName name="_xlnm._FilterDatabase" localSheetId="10" hidden="1">Meststoffenlijst!$A$2:$AF$184</definedName>
    <definedName name="Diercategorie">'Lijsten en tabellen'!$AI$3:$AI$10</definedName>
    <definedName name="Melkkoeien">'Lijsten en tabellen'!$AJ$3:$AJ$28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0" i="51" l="1"/>
  <c r="F149" i="51"/>
  <c r="F148" i="51"/>
  <c r="F147" i="51"/>
  <c r="F146" i="51"/>
  <c r="F145" i="51"/>
  <c r="V108" i="51"/>
  <c r="U108" i="51"/>
  <c r="T108" i="51"/>
  <c r="W108" i="51" s="1"/>
  <c r="V107" i="51"/>
  <c r="U107" i="51"/>
  <c r="T107" i="51"/>
  <c r="W107" i="51" s="1"/>
  <c r="V106" i="51"/>
  <c r="U106" i="51"/>
  <c r="T106" i="51"/>
  <c r="W106" i="51" s="1"/>
  <c r="V105" i="51"/>
  <c r="U105" i="51"/>
  <c r="T105" i="51"/>
  <c r="W105" i="51" s="1"/>
  <c r="V104" i="51"/>
  <c r="U104" i="51"/>
  <c r="T104" i="51"/>
  <c r="W104" i="51" s="1"/>
  <c r="V103" i="51"/>
  <c r="U103" i="51"/>
  <c r="T103" i="51"/>
  <c r="W103" i="51" s="1"/>
  <c r="V100" i="51"/>
  <c r="U100" i="51"/>
  <c r="T100" i="51"/>
  <c r="W100" i="51" s="1"/>
  <c r="V99" i="51"/>
  <c r="U99" i="51"/>
  <c r="T99" i="51"/>
  <c r="W99" i="51" s="1"/>
  <c r="V98" i="51"/>
  <c r="U98" i="51"/>
  <c r="T98" i="51"/>
  <c r="W98" i="51" s="1"/>
  <c r="V97" i="51"/>
  <c r="U97" i="51"/>
  <c r="T97" i="51"/>
  <c r="W97" i="51" s="1"/>
  <c r="V96" i="51"/>
  <c r="U96" i="51"/>
  <c r="T96" i="51"/>
  <c r="W96" i="51" s="1"/>
  <c r="V95" i="51"/>
  <c r="V101" i="51" s="1"/>
  <c r="U95" i="51"/>
  <c r="T95" i="51"/>
  <c r="W95" i="51" s="1"/>
  <c r="W101" i="51" s="1"/>
  <c r="V92" i="51"/>
  <c r="U92" i="51"/>
  <c r="T92" i="51"/>
  <c r="W92" i="51" s="1"/>
  <c r="V91" i="51"/>
  <c r="U91" i="51"/>
  <c r="T91" i="51"/>
  <c r="W91" i="51" s="1"/>
  <c r="V90" i="51"/>
  <c r="U90" i="51"/>
  <c r="T90" i="51"/>
  <c r="W90" i="51" s="1"/>
  <c r="V89" i="51"/>
  <c r="U89" i="51"/>
  <c r="T89" i="51"/>
  <c r="W89" i="51" s="1"/>
  <c r="V88" i="51"/>
  <c r="U88" i="51"/>
  <c r="T88" i="51"/>
  <c r="W88" i="51" s="1"/>
  <c r="V87" i="51"/>
  <c r="U87" i="51"/>
  <c r="T87" i="51"/>
  <c r="W87" i="51" s="1"/>
  <c r="V84" i="51"/>
  <c r="U84" i="51"/>
  <c r="T84" i="51"/>
  <c r="W84" i="51" s="1"/>
  <c r="V83" i="51"/>
  <c r="U83" i="51"/>
  <c r="T83" i="51"/>
  <c r="W83" i="51" s="1"/>
  <c r="V82" i="51"/>
  <c r="U82" i="51"/>
  <c r="T82" i="51"/>
  <c r="W82" i="51" s="1"/>
  <c r="V81" i="51"/>
  <c r="U81" i="51"/>
  <c r="T81" i="51"/>
  <c r="W81" i="51" s="1"/>
  <c r="V80" i="51"/>
  <c r="U80" i="51"/>
  <c r="T80" i="51"/>
  <c r="W80" i="51" s="1"/>
  <c r="V79" i="51"/>
  <c r="U79" i="51"/>
  <c r="T79" i="51"/>
  <c r="W79" i="51" s="1"/>
  <c r="V76" i="51"/>
  <c r="U76" i="51"/>
  <c r="T76" i="51"/>
  <c r="W76" i="51" s="1"/>
  <c r="V75" i="51"/>
  <c r="U75" i="51"/>
  <c r="T75" i="51"/>
  <c r="W75" i="51" s="1"/>
  <c r="V74" i="51"/>
  <c r="U74" i="51"/>
  <c r="T74" i="51"/>
  <c r="W74" i="51" s="1"/>
  <c r="V73" i="51"/>
  <c r="U73" i="51"/>
  <c r="T73" i="51"/>
  <c r="W73" i="51" s="1"/>
  <c r="V72" i="51"/>
  <c r="U72" i="51"/>
  <c r="T72" i="51"/>
  <c r="W72" i="51" s="1"/>
  <c r="V71" i="51"/>
  <c r="V77" i="51" s="1"/>
  <c r="U71" i="51"/>
  <c r="T71" i="51"/>
  <c r="W71" i="51" s="1"/>
  <c r="V68" i="51"/>
  <c r="U68" i="51"/>
  <c r="T68" i="51"/>
  <c r="W68" i="51" s="1"/>
  <c r="V67" i="51"/>
  <c r="U67" i="51"/>
  <c r="T67" i="51"/>
  <c r="W67" i="51" s="1"/>
  <c r="V66" i="51"/>
  <c r="U66" i="51"/>
  <c r="T66" i="51"/>
  <c r="W66" i="51" s="1"/>
  <c r="V65" i="51"/>
  <c r="U65" i="51"/>
  <c r="T65" i="51"/>
  <c r="W65" i="51" s="1"/>
  <c r="V64" i="51"/>
  <c r="U64" i="51"/>
  <c r="T64" i="51"/>
  <c r="W64" i="51" s="1"/>
  <c r="V63" i="51"/>
  <c r="U63" i="51"/>
  <c r="T63" i="51"/>
  <c r="W63" i="51" s="1"/>
  <c r="W69" i="51" s="1"/>
  <c r="C52" i="51"/>
  <c r="C51" i="51"/>
  <c r="C50" i="51"/>
  <c r="B30" i="51"/>
  <c r="B29" i="51"/>
  <c r="B28" i="51"/>
  <c r="B27" i="51"/>
  <c r="B26" i="51"/>
  <c r="B25" i="51"/>
  <c r="E16" i="51"/>
  <c r="D12" i="51"/>
  <c r="O9" i="51"/>
  <c r="R9" i="51" s="1"/>
  <c r="N9" i="51"/>
  <c r="P9" i="51" s="1"/>
  <c r="Q9" i="51" s="1"/>
  <c r="G9" i="51"/>
  <c r="C58" i="51" s="1"/>
  <c r="O8" i="51"/>
  <c r="R8" i="51" s="1"/>
  <c r="N8" i="51"/>
  <c r="P8" i="51" s="1"/>
  <c r="Q8" i="51" s="1"/>
  <c r="G8" i="51"/>
  <c r="C57" i="51" s="1"/>
  <c r="O7" i="51"/>
  <c r="R7" i="51" s="1"/>
  <c r="N7" i="51"/>
  <c r="P7" i="51" s="1"/>
  <c r="Q7" i="51" s="1"/>
  <c r="G7" i="51"/>
  <c r="C56" i="51" s="1"/>
  <c r="O6" i="51"/>
  <c r="R6" i="51" s="1"/>
  <c r="N6" i="51"/>
  <c r="P6" i="51" s="1"/>
  <c r="Q6" i="51" s="1"/>
  <c r="G6" i="51"/>
  <c r="C55" i="51" s="1"/>
  <c r="O5" i="51"/>
  <c r="R5" i="51" s="1"/>
  <c r="N5" i="51"/>
  <c r="P5" i="51" s="1"/>
  <c r="Q5" i="51" s="1"/>
  <c r="G5" i="51"/>
  <c r="C54" i="51" s="1"/>
  <c r="E5" i="51"/>
  <c r="C18" i="51" s="1"/>
  <c r="O4" i="51"/>
  <c r="R4" i="51" s="1"/>
  <c r="N4" i="51"/>
  <c r="P4" i="51" s="1"/>
  <c r="Q4" i="51" s="1"/>
  <c r="G4" i="51"/>
  <c r="C53" i="51" s="1"/>
  <c r="E4" i="51"/>
  <c r="B4" i="51"/>
  <c r="F150" i="50"/>
  <c r="F149" i="50"/>
  <c r="F148" i="50"/>
  <c r="F147" i="50"/>
  <c r="F146" i="50"/>
  <c r="F145" i="50"/>
  <c r="V108" i="50"/>
  <c r="U108" i="50"/>
  <c r="T108" i="50"/>
  <c r="W108" i="50" s="1"/>
  <c r="V107" i="50"/>
  <c r="U107" i="50"/>
  <c r="T107" i="50"/>
  <c r="W107" i="50" s="1"/>
  <c r="V106" i="50"/>
  <c r="U106" i="50"/>
  <c r="T106" i="50"/>
  <c r="W106" i="50" s="1"/>
  <c r="V105" i="50"/>
  <c r="U105" i="50"/>
  <c r="T105" i="50"/>
  <c r="W105" i="50" s="1"/>
  <c r="V104" i="50"/>
  <c r="AF104" i="50" s="1"/>
  <c r="U104" i="50"/>
  <c r="T104" i="50"/>
  <c r="W104" i="50" s="1"/>
  <c r="V103" i="50"/>
  <c r="U103" i="50"/>
  <c r="T103" i="50"/>
  <c r="W103" i="50" s="1"/>
  <c r="W109" i="50" s="1"/>
  <c r="V100" i="50"/>
  <c r="U100" i="50"/>
  <c r="T100" i="50"/>
  <c r="W100" i="50" s="1"/>
  <c r="V99" i="50"/>
  <c r="U99" i="50"/>
  <c r="T99" i="50"/>
  <c r="W99" i="50" s="1"/>
  <c r="V98" i="50"/>
  <c r="U98" i="50"/>
  <c r="T98" i="50"/>
  <c r="W98" i="50" s="1"/>
  <c r="V97" i="50"/>
  <c r="AF97" i="50" s="1"/>
  <c r="U97" i="50"/>
  <c r="T97" i="50"/>
  <c r="W97" i="50" s="1"/>
  <c r="V96" i="50"/>
  <c r="U96" i="50"/>
  <c r="T96" i="50"/>
  <c r="W96" i="50" s="1"/>
  <c r="V95" i="50"/>
  <c r="U95" i="50"/>
  <c r="T95" i="50"/>
  <c r="W95" i="50" s="1"/>
  <c r="V92" i="50"/>
  <c r="U92" i="50"/>
  <c r="T92" i="50"/>
  <c r="W92" i="50" s="1"/>
  <c r="V91" i="50"/>
  <c r="U91" i="50"/>
  <c r="T91" i="50"/>
  <c r="W91" i="50" s="1"/>
  <c r="V90" i="50"/>
  <c r="U90" i="50"/>
  <c r="T90" i="50"/>
  <c r="W90" i="50" s="1"/>
  <c r="V89" i="50"/>
  <c r="U89" i="50"/>
  <c r="T89" i="50"/>
  <c r="W89" i="50" s="1"/>
  <c r="V88" i="50"/>
  <c r="U88" i="50"/>
  <c r="T88" i="50"/>
  <c r="W88" i="50" s="1"/>
  <c r="V87" i="50"/>
  <c r="U87" i="50"/>
  <c r="T87" i="50"/>
  <c r="W87" i="50" s="1"/>
  <c r="V84" i="50"/>
  <c r="U84" i="50"/>
  <c r="T84" i="50"/>
  <c r="W84" i="50" s="1"/>
  <c r="V83" i="50"/>
  <c r="U83" i="50"/>
  <c r="T83" i="50"/>
  <c r="W83" i="50" s="1"/>
  <c r="V82" i="50"/>
  <c r="U82" i="50"/>
  <c r="T82" i="50"/>
  <c r="W82" i="50" s="1"/>
  <c r="V81" i="50"/>
  <c r="U81" i="50"/>
  <c r="T81" i="50"/>
  <c r="W81" i="50" s="1"/>
  <c r="V80" i="50"/>
  <c r="U80" i="50"/>
  <c r="T80" i="50"/>
  <c r="W80" i="50" s="1"/>
  <c r="V79" i="50"/>
  <c r="U79" i="50"/>
  <c r="T79" i="50"/>
  <c r="W79" i="50" s="1"/>
  <c r="V76" i="50"/>
  <c r="U76" i="50"/>
  <c r="T76" i="50"/>
  <c r="W76" i="50" s="1"/>
  <c r="V75" i="50"/>
  <c r="U75" i="50"/>
  <c r="T75" i="50"/>
  <c r="W75" i="50" s="1"/>
  <c r="V74" i="50"/>
  <c r="U74" i="50"/>
  <c r="T74" i="50"/>
  <c r="W74" i="50" s="1"/>
  <c r="V73" i="50"/>
  <c r="U73" i="50"/>
  <c r="T73" i="50"/>
  <c r="W73" i="50" s="1"/>
  <c r="V72" i="50"/>
  <c r="U72" i="50"/>
  <c r="T72" i="50"/>
  <c r="W72" i="50" s="1"/>
  <c r="V71" i="50"/>
  <c r="U71" i="50"/>
  <c r="T71" i="50"/>
  <c r="W71" i="50" s="1"/>
  <c r="V68" i="50"/>
  <c r="U68" i="50"/>
  <c r="T68" i="50"/>
  <c r="W68" i="50" s="1"/>
  <c r="V67" i="50"/>
  <c r="U67" i="50"/>
  <c r="T67" i="50"/>
  <c r="W67" i="50" s="1"/>
  <c r="V66" i="50"/>
  <c r="U66" i="50"/>
  <c r="T66" i="50"/>
  <c r="W66" i="50" s="1"/>
  <c r="V65" i="50"/>
  <c r="U65" i="50"/>
  <c r="T65" i="50"/>
  <c r="W65" i="50" s="1"/>
  <c r="V64" i="50"/>
  <c r="U64" i="50"/>
  <c r="T64" i="50"/>
  <c r="W64" i="50" s="1"/>
  <c r="V63" i="50"/>
  <c r="U63" i="50"/>
  <c r="T63" i="50"/>
  <c r="W63" i="50" s="1"/>
  <c r="W69" i="50" s="1"/>
  <c r="AF62" i="50"/>
  <c r="AE62" i="50"/>
  <c r="AD62" i="50"/>
  <c r="AF61" i="50"/>
  <c r="AE61" i="50"/>
  <c r="AD61" i="50"/>
  <c r="C52" i="50"/>
  <c r="C51" i="50"/>
  <c r="C50" i="50"/>
  <c r="B30" i="50"/>
  <c r="B29" i="50"/>
  <c r="B28" i="50"/>
  <c r="B27" i="50"/>
  <c r="B26" i="50"/>
  <c r="B25" i="50"/>
  <c r="E16" i="50"/>
  <c r="D12" i="50"/>
  <c r="O9" i="50"/>
  <c r="R9" i="50" s="1"/>
  <c r="N9" i="50"/>
  <c r="P9" i="50" s="1"/>
  <c r="Q9" i="50" s="1"/>
  <c r="G9" i="50"/>
  <c r="C58" i="50" s="1"/>
  <c r="O8" i="50"/>
  <c r="R8" i="50" s="1"/>
  <c r="N8" i="50"/>
  <c r="P8" i="50" s="1"/>
  <c r="Q8" i="50" s="1"/>
  <c r="G8" i="50"/>
  <c r="C57" i="50" s="1"/>
  <c r="O7" i="50"/>
  <c r="R7" i="50" s="1"/>
  <c r="N7" i="50"/>
  <c r="P7" i="50" s="1"/>
  <c r="Q7" i="50" s="1"/>
  <c r="G7" i="50"/>
  <c r="C56" i="50" s="1"/>
  <c r="O6" i="50"/>
  <c r="R6" i="50" s="1"/>
  <c r="N6" i="50"/>
  <c r="P6" i="50" s="1"/>
  <c r="Q6" i="50" s="1"/>
  <c r="G6" i="50"/>
  <c r="C55" i="50" s="1"/>
  <c r="O5" i="50"/>
  <c r="R5" i="50" s="1"/>
  <c r="N5" i="50"/>
  <c r="P5" i="50" s="1"/>
  <c r="Q5" i="50" s="1"/>
  <c r="G5" i="50"/>
  <c r="C54" i="50" s="1"/>
  <c r="E5" i="50"/>
  <c r="C18" i="50" s="1"/>
  <c r="O4" i="50"/>
  <c r="R4" i="50" s="1"/>
  <c r="N4" i="50"/>
  <c r="P4" i="50" s="1"/>
  <c r="Q4" i="50" s="1"/>
  <c r="G4" i="50"/>
  <c r="C53" i="50" s="1"/>
  <c r="E4" i="50"/>
  <c r="B4" i="50"/>
  <c r="F150" i="49"/>
  <c r="F149" i="49"/>
  <c r="F148" i="49"/>
  <c r="F147" i="49"/>
  <c r="F146" i="49"/>
  <c r="F145" i="49"/>
  <c r="V108" i="49"/>
  <c r="U108" i="49"/>
  <c r="T108" i="49"/>
  <c r="W108" i="49" s="1"/>
  <c r="V107" i="49"/>
  <c r="U107" i="49"/>
  <c r="T107" i="49"/>
  <c r="W107" i="49" s="1"/>
  <c r="V106" i="49"/>
  <c r="U106" i="49"/>
  <c r="T106" i="49"/>
  <c r="W106" i="49" s="1"/>
  <c r="V105" i="49"/>
  <c r="U105" i="49"/>
  <c r="T105" i="49"/>
  <c r="W105" i="49" s="1"/>
  <c r="V104" i="49"/>
  <c r="U104" i="49"/>
  <c r="T104" i="49"/>
  <c r="W104" i="49" s="1"/>
  <c r="V103" i="49"/>
  <c r="V109" i="49" s="1"/>
  <c r="U103" i="49"/>
  <c r="T103" i="49"/>
  <c r="W103" i="49" s="1"/>
  <c r="V100" i="49"/>
  <c r="U100" i="49"/>
  <c r="T100" i="49"/>
  <c r="W100" i="49" s="1"/>
  <c r="V99" i="49"/>
  <c r="U99" i="49"/>
  <c r="T99" i="49"/>
  <c r="W99" i="49" s="1"/>
  <c r="V98" i="49"/>
  <c r="U98" i="49"/>
  <c r="T98" i="49"/>
  <c r="W98" i="49" s="1"/>
  <c r="V97" i="49"/>
  <c r="U97" i="49"/>
  <c r="T97" i="49"/>
  <c r="W97" i="49" s="1"/>
  <c r="V96" i="49"/>
  <c r="U96" i="49"/>
  <c r="T96" i="49"/>
  <c r="W96" i="49" s="1"/>
  <c r="V95" i="49"/>
  <c r="U95" i="49"/>
  <c r="T95" i="49"/>
  <c r="W95" i="49" s="1"/>
  <c r="V92" i="49"/>
  <c r="U92" i="49"/>
  <c r="T92" i="49"/>
  <c r="W92" i="49" s="1"/>
  <c r="V91" i="49"/>
  <c r="U91" i="49"/>
  <c r="T91" i="49"/>
  <c r="W91" i="49" s="1"/>
  <c r="V90" i="49"/>
  <c r="U90" i="49"/>
  <c r="T90" i="49"/>
  <c r="W90" i="49" s="1"/>
  <c r="V89" i="49"/>
  <c r="U89" i="49"/>
  <c r="T89" i="49"/>
  <c r="W89" i="49" s="1"/>
  <c r="V88" i="49"/>
  <c r="U88" i="49"/>
  <c r="T88" i="49"/>
  <c r="W88" i="49" s="1"/>
  <c r="V87" i="49"/>
  <c r="U87" i="49"/>
  <c r="T87" i="49"/>
  <c r="W87" i="49" s="1"/>
  <c r="V84" i="49"/>
  <c r="U84" i="49"/>
  <c r="T84" i="49"/>
  <c r="W84" i="49" s="1"/>
  <c r="V83" i="49"/>
  <c r="U83" i="49"/>
  <c r="T83" i="49"/>
  <c r="W83" i="49" s="1"/>
  <c r="V82" i="49"/>
  <c r="U82" i="49"/>
  <c r="T82" i="49"/>
  <c r="W82" i="49" s="1"/>
  <c r="V81" i="49"/>
  <c r="U81" i="49"/>
  <c r="T81" i="49"/>
  <c r="W81" i="49" s="1"/>
  <c r="V80" i="49"/>
  <c r="U80" i="49"/>
  <c r="T80" i="49"/>
  <c r="W80" i="49" s="1"/>
  <c r="V79" i="49"/>
  <c r="U79" i="49"/>
  <c r="T79" i="49"/>
  <c r="W79" i="49" s="1"/>
  <c r="V76" i="49"/>
  <c r="U76" i="49"/>
  <c r="T76" i="49"/>
  <c r="W76" i="49" s="1"/>
  <c r="V75" i="49"/>
  <c r="U75" i="49"/>
  <c r="T75" i="49"/>
  <c r="W75" i="49" s="1"/>
  <c r="V74" i="49"/>
  <c r="AF74" i="49" s="1"/>
  <c r="U74" i="49"/>
  <c r="T74" i="49"/>
  <c r="W74" i="49" s="1"/>
  <c r="V73" i="49"/>
  <c r="U73" i="49"/>
  <c r="T73" i="49"/>
  <c r="W73" i="49" s="1"/>
  <c r="V72" i="49"/>
  <c r="U72" i="49"/>
  <c r="T72" i="49"/>
  <c r="W72" i="49" s="1"/>
  <c r="V71" i="49"/>
  <c r="U71" i="49"/>
  <c r="T71" i="49"/>
  <c r="W71" i="49" s="1"/>
  <c r="V68" i="49"/>
  <c r="U68" i="49"/>
  <c r="T68" i="49"/>
  <c r="W68" i="49" s="1"/>
  <c r="V67" i="49"/>
  <c r="U67" i="49"/>
  <c r="T67" i="49"/>
  <c r="W67" i="49" s="1"/>
  <c r="V66" i="49"/>
  <c r="U66" i="49"/>
  <c r="T66" i="49"/>
  <c r="W66" i="49" s="1"/>
  <c r="V65" i="49"/>
  <c r="U65" i="49"/>
  <c r="T65" i="49"/>
  <c r="W65" i="49" s="1"/>
  <c r="V64" i="49"/>
  <c r="U64" i="49"/>
  <c r="T64" i="49"/>
  <c r="W64" i="49" s="1"/>
  <c r="V63" i="49"/>
  <c r="U63" i="49"/>
  <c r="T63" i="49"/>
  <c r="W63" i="49" s="1"/>
  <c r="W69" i="49" s="1"/>
  <c r="C52" i="49"/>
  <c r="C51" i="49"/>
  <c r="C50" i="49"/>
  <c r="B30" i="49"/>
  <c r="B29" i="49"/>
  <c r="B28" i="49"/>
  <c r="B27" i="49"/>
  <c r="B26" i="49"/>
  <c r="B25" i="49"/>
  <c r="B34" i="49" s="1" a="1"/>
  <c r="E16" i="49"/>
  <c r="D12" i="49"/>
  <c r="O9" i="49"/>
  <c r="R9" i="49" s="1"/>
  <c r="N9" i="49"/>
  <c r="P9" i="49" s="1"/>
  <c r="Q9" i="49" s="1"/>
  <c r="G9" i="49"/>
  <c r="C58" i="49" s="1"/>
  <c r="O8" i="49"/>
  <c r="R8" i="49" s="1"/>
  <c r="N8" i="49"/>
  <c r="P8" i="49" s="1"/>
  <c r="Q8" i="49" s="1"/>
  <c r="G8" i="49"/>
  <c r="C57" i="49" s="1"/>
  <c r="O7" i="49"/>
  <c r="R7" i="49" s="1"/>
  <c r="N7" i="49"/>
  <c r="P7" i="49" s="1"/>
  <c r="Q7" i="49" s="1"/>
  <c r="G7" i="49"/>
  <c r="C56" i="49" s="1"/>
  <c r="O6" i="49"/>
  <c r="R6" i="49" s="1"/>
  <c r="N6" i="49"/>
  <c r="P6" i="49" s="1"/>
  <c r="Q6" i="49" s="1"/>
  <c r="G6" i="49"/>
  <c r="C55" i="49" s="1"/>
  <c r="O5" i="49"/>
  <c r="R5" i="49" s="1"/>
  <c r="N5" i="49"/>
  <c r="P5" i="49" s="1"/>
  <c r="Q5" i="49" s="1"/>
  <c r="G5" i="49"/>
  <c r="C54" i="49" s="1"/>
  <c r="E5" i="49"/>
  <c r="C18" i="49" s="1"/>
  <c r="O4" i="49"/>
  <c r="R4" i="49" s="1"/>
  <c r="N4" i="49"/>
  <c r="P4" i="49" s="1"/>
  <c r="Q4" i="49" s="1"/>
  <c r="G4" i="49"/>
  <c r="C53" i="49" s="1"/>
  <c r="E4" i="49"/>
  <c r="B4" i="49"/>
  <c r="F150" i="48"/>
  <c r="F149" i="48"/>
  <c r="F148" i="48"/>
  <c r="F147" i="48"/>
  <c r="F146" i="48"/>
  <c r="F145" i="48"/>
  <c r="V108" i="48"/>
  <c r="U108" i="48"/>
  <c r="T108" i="48"/>
  <c r="W108" i="48" s="1"/>
  <c r="V107" i="48"/>
  <c r="U107" i="48"/>
  <c r="T107" i="48"/>
  <c r="W107" i="48" s="1"/>
  <c r="V106" i="48"/>
  <c r="U106" i="48"/>
  <c r="T106" i="48"/>
  <c r="W106" i="48" s="1"/>
  <c r="V105" i="48"/>
  <c r="U105" i="48"/>
  <c r="T105" i="48"/>
  <c r="W105" i="48" s="1"/>
  <c r="V104" i="48"/>
  <c r="U104" i="48"/>
  <c r="T104" i="48"/>
  <c r="W104" i="48" s="1"/>
  <c r="V103" i="48"/>
  <c r="V109" i="48" s="1"/>
  <c r="U103" i="48"/>
  <c r="T103" i="48"/>
  <c r="W103" i="48" s="1"/>
  <c r="W109" i="48" s="1"/>
  <c r="V100" i="48"/>
  <c r="U100" i="48"/>
  <c r="T100" i="48"/>
  <c r="W100" i="48" s="1"/>
  <c r="V99" i="48"/>
  <c r="U99" i="48"/>
  <c r="T99" i="48"/>
  <c r="W99" i="48" s="1"/>
  <c r="V98" i="48"/>
  <c r="U98" i="48"/>
  <c r="T98" i="48"/>
  <c r="W98" i="48" s="1"/>
  <c r="V97" i="48"/>
  <c r="U97" i="48"/>
  <c r="T97" i="48"/>
  <c r="W97" i="48" s="1"/>
  <c r="V96" i="48"/>
  <c r="AF96" i="48" s="1"/>
  <c r="U96" i="48"/>
  <c r="T96" i="48"/>
  <c r="W96" i="48" s="1"/>
  <c r="V95" i="48"/>
  <c r="U95" i="48"/>
  <c r="T95" i="48"/>
  <c r="W95" i="48" s="1"/>
  <c r="V92" i="48"/>
  <c r="U92" i="48"/>
  <c r="T92" i="48"/>
  <c r="W92" i="48" s="1"/>
  <c r="V91" i="48"/>
  <c r="U91" i="48"/>
  <c r="T91" i="48"/>
  <c r="W91" i="48" s="1"/>
  <c r="V90" i="48"/>
  <c r="U90" i="48"/>
  <c r="T90" i="48"/>
  <c r="W90" i="48" s="1"/>
  <c r="V89" i="48"/>
  <c r="U89" i="48"/>
  <c r="T89" i="48"/>
  <c r="W89" i="48" s="1"/>
  <c r="V88" i="48"/>
  <c r="U88" i="48"/>
  <c r="T88" i="48"/>
  <c r="W88" i="48" s="1"/>
  <c r="V87" i="48"/>
  <c r="U87" i="48"/>
  <c r="T87" i="48"/>
  <c r="W87" i="48" s="1"/>
  <c r="V84" i="48"/>
  <c r="U84" i="48"/>
  <c r="T84" i="48"/>
  <c r="W84" i="48" s="1"/>
  <c r="V83" i="48"/>
  <c r="U83" i="48"/>
  <c r="T83" i="48"/>
  <c r="W83" i="48" s="1"/>
  <c r="V82" i="48"/>
  <c r="U82" i="48"/>
  <c r="T82" i="48"/>
  <c r="W82" i="48" s="1"/>
  <c r="V81" i="48"/>
  <c r="U81" i="48"/>
  <c r="T81" i="48"/>
  <c r="W81" i="48" s="1"/>
  <c r="V80" i="48"/>
  <c r="U80" i="48"/>
  <c r="T80" i="48"/>
  <c r="W80" i="48" s="1"/>
  <c r="V79" i="48"/>
  <c r="U79" i="48"/>
  <c r="T79" i="48"/>
  <c r="W79" i="48" s="1"/>
  <c r="W76" i="48"/>
  <c r="V76" i="48"/>
  <c r="U76" i="48"/>
  <c r="T76" i="48"/>
  <c r="V75" i="48"/>
  <c r="U75" i="48"/>
  <c r="T75" i="48"/>
  <c r="W75" i="48" s="1"/>
  <c r="V74" i="48"/>
  <c r="U74" i="48"/>
  <c r="T74" i="48"/>
  <c r="W74" i="48" s="1"/>
  <c r="V73" i="48"/>
  <c r="AF73" i="48" s="1"/>
  <c r="U73" i="48"/>
  <c r="T73" i="48"/>
  <c r="W73" i="48" s="1"/>
  <c r="V72" i="48"/>
  <c r="U72" i="48"/>
  <c r="T72" i="48"/>
  <c r="W72" i="48" s="1"/>
  <c r="V71" i="48"/>
  <c r="U71" i="48"/>
  <c r="T71" i="48"/>
  <c r="W71" i="48" s="1"/>
  <c r="W77" i="48" s="1"/>
  <c r="V68" i="48"/>
  <c r="U68" i="48"/>
  <c r="T68" i="48"/>
  <c r="W68" i="48" s="1"/>
  <c r="V67" i="48"/>
  <c r="U67" i="48"/>
  <c r="T67" i="48"/>
  <c r="W67" i="48" s="1"/>
  <c r="V66" i="48"/>
  <c r="U66" i="48"/>
  <c r="T66" i="48"/>
  <c r="W66" i="48" s="1"/>
  <c r="V65" i="48"/>
  <c r="U65" i="48"/>
  <c r="T65" i="48"/>
  <c r="W65" i="48" s="1"/>
  <c r="W64" i="48"/>
  <c r="V64" i="48"/>
  <c r="U64" i="48"/>
  <c r="T64" i="48"/>
  <c r="V63" i="48"/>
  <c r="U63" i="48"/>
  <c r="T63" i="48"/>
  <c r="W63" i="48" s="1"/>
  <c r="C52" i="48"/>
  <c r="C51" i="48"/>
  <c r="C50" i="48"/>
  <c r="B30" i="48"/>
  <c r="B29" i="48"/>
  <c r="B28" i="48"/>
  <c r="B27" i="48"/>
  <c r="B26" i="48"/>
  <c r="B25" i="48"/>
  <c r="E16" i="48"/>
  <c r="D12" i="48"/>
  <c r="O9" i="48"/>
  <c r="R9" i="48" s="1"/>
  <c r="N9" i="48"/>
  <c r="P9" i="48" s="1"/>
  <c r="Q9" i="48" s="1"/>
  <c r="G9" i="48"/>
  <c r="C58" i="48" s="1"/>
  <c r="O8" i="48"/>
  <c r="R8" i="48" s="1"/>
  <c r="N8" i="48"/>
  <c r="P8" i="48" s="1"/>
  <c r="Q8" i="48" s="1"/>
  <c r="G8" i="48"/>
  <c r="C57" i="48" s="1"/>
  <c r="O7" i="48"/>
  <c r="R7" i="48" s="1"/>
  <c r="N7" i="48"/>
  <c r="P7" i="48" s="1"/>
  <c r="Q7" i="48" s="1"/>
  <c r="G7" i="48"/>
  <c r="C56" i="48" s="1"/>
  <c r="O6" i="48"/>
  <c r="R6" i="48" s="1"/>
  <c r="N6" i="48"/>
  <c r="P6" i="48" s="1"/>
  <c r="Q6" i="48" s="1"/>
  <c r="G6" i="48"/>
  <c r="C55" i="48" s="1"/>
  <c r="O5" i="48"/>
  <c r="R5" i="48" s="1"/>
  <c r="N5" i="48"/>
  <c r="P5" i="48" s="1"/>
  <c r="Q5" i="48" s="1"/>
  <c r="G5" i="48"/>
  <c r="C54" i="48" s="1"/>
  <c r="E5" i="48"/>
  <c r="C18" i="48" s="1"/>
  <c r="O4" i="48"/>
  <c r="R4" i="48" s="1"/>
  <c r="N4" i="48"/>
  <c r="P4" i="48" s="1"/>
  <c r="Q4" i="48" s="1"/>
  <c r="G4" i="48"/>
  <c r="C53" i="48" s="1"/>
  <c r="E4" i="48"/>
  <c r="B4" i="48"/>
  <c r="F145" i="22"/>
  <c r="F150" i="22"/>
  <c r="F149" i="22"/>
  <c r="F148" i="22"/>
  <c r="F147" i="22"/>
  <c r="F146" i="22"/>
  <c r="C50" i="22"/>
  <c r="C51" i="22"/>
  <c r="C52" i="22"/>
  <c r="W85" i="51" l="1"/>
  <c r="W93" i="48"/>
  <c r="W93" i="51"/>
  <c r="W85" i="48"/>
  <c r="J30" i="49"/>
  <c r="I30" i="49"/>
  <c r="H30" i="49"/>
  <c r="G30" i="49"/>
  <c r="F30" i="49"/>
  <c r="E30" i="49"/>
  <c r="D30" i="49"/>
  <c r="J29" i="49"/>
  <c r="I29" i="49"/>
  <c r="H29" i="49"/>
  <c r="G29" i="49"/>
  <c r="F29" i="49"/>
  <c r="E29" i="49"/>
  <c r="D29" i="49"/>
  <c r="J28" i="49"/>
  <c r="I28" i="49"/>
  <c r="H28" i="49"/>
  <c r="G28" i="49"/>
  <c r="F28" i="49"/>
  <c r="E28" i="49"/>
  <c r="D28" i="49"/>
  <c r="J27" i="49"/>
  <c r="I27" i="49"/>
  <c r="H27" i="49"/>
  <c r="G27" i="49"/>
  <c r="F27" i="49"/>
  <c r="E27" i="49"/>
  <c r="D27" i="49"/>
  <c r="J26" i="49"/>
  <c r="I26" i="49"/>
  <c r="H26" i="49"/>
  <c r="G26" i="49"/>
  <c r="F26" i="49"/>
  <c r="E26" i="49"/>
  <c r="D26" i="49"/>
  <c r="V85" i="49"/>
  <c r="W85" i="49"/>
  <c r="W77" i="50"/>
  <c r="V93" i="51"/>
  <c r="W109" i="51"/>
  <c r="B34" i="51" a="1"/>
  <c r="B34" i="50" a="1"/>
  <c r="B34" i="48" a="1"/>
  <c r="W69" i="48"/>
  <c r="W85" i="50"/>
  <c r="W77" i="51"/>
  <c r="W111" i="51" s="1"/>
  <c r="V93" i="50"/>
  <c r="W93" i="50"/>
  <c r="W77" i="49"/>
  <c r="AF84" i="49"/>
  <c r="AE84" i="49"/>
  <c r="AD84" i="49"/>
  <c r="AF66" i="48"/>
  <c r="AE66" i="48"/>
  <c r="W101" i="48"/>
  <c r="W111" i="48" s="1"/>
  <c r="AE92" i="48"/>
  <c r="AF92" i="48"/>
  <c r="AF80" i="48"/>
  <c r="AE80" i="48"/>
  <c r="V101" i="49"/>
  <c r="AE82" i="50"/>
  <c r="AD82" i="50"/>
  <c r="AF82" i="50"/>
  <c r="V109" i="51"/>
  <c r="V85" i="51"/>
  <c r="V69" i="51"/>
  <c r="AL72" i="51"/>
  <c r="AL89" i="51"/>
  <c r="AL98" i="51"/>
  <c r="AL76" i="51"/>
  <c r="AL96" i="51"/>
  <c r="AL63" i="51"/>
  <c r="AL67" i="51"/>
  <c r="AL75" i="51"/>
  <c r="AL87" i="51"/>
  <c r="AL74" i="51"/>
  <c r="AL107" i="51"/>
  <c r="AL97" i="51"/>
  <c r="AL88" i="51"/>
  <c r="AL84" i="51"/>
  <c r="AL79" i="51"/>
  <c r="AL108" i="51"/>
  <c r="AL83" i="51"/>
  <c r="AL106" i="51"/>
  <c r="AL95" i="51"/>
  <c r="AL82" i="51"/>
  <c r="AL80" i="51"/>
  <c r="AL62" i="51"/>
  <c r="AL103" i="51"/>
  <c r="E58" i="51"/>
  <c r="AL92" i="51"/>
  <c r="AL61" i="51"/>
  <c r="AL105" i="51"/>
  <c r="AL91" i="51"/>
  <c r="AL64" i="51"/>
  <c r="AL68" i="51"/>
  <c r="AL99" i="51"/>
  <c r="AL104" i="51"/>
  <c r="D58" i="51"/>
  <c r="F58" i="51" s="1"/>
  <c r="N58" i="51" s="1"/>
  <c r="AL66" i="51"/>
  <c r="AL100" i="51"/>
  <c r="AL65" i="51"/>
  <c r="AL81" i="51"/>
  <c r="AL73" i="51"/>
  <c r="AL71" i="51"/>
  <c r="AL90" i="51"/>
  <c r="AK108" i="51"/>
  <c r="AK91" i="51"/>
  <c r="AK76" i="51"/>
  <c r="AK103" i="51"/>
  <c r="AK92" i="51"/>
  <c r="AK105" i="51"/>
  <c r="AK64" i="51"/>
  <c r="AK88" i="51"/>
  <c r="AK104" i="51"/>
  <c r="AK72" i="51"/>
  <c r="AK107" i="51"/>
  <c r="AK84" i="51"/>
  <c r="AK67" i="51"/>
  <c r="AK81" i="51"/>
  <c r="AK65" i="51"/>
  <c r="AK68" i="51"/>
  <c r="AK106" i="51"/>
  <c r="AK61" i="51"/>
  <c r="AK95" i="51"/>
  <c r="AK66" i="51"/>
  <c r="AK79" i="51"/>
  <c r="AK74" i="51"/>
  <c r="AK90" i="51"/>
  <c r="AK87" i="51"/>
  <c r="E57" i="51"/>
  <c r="AK89" i="51"/>
  <c r="AK97" i="51"/>
  <c r="AK99" i="51"/>
  <c r="AK96" i="51"/>
  <c r="AK75" i="51"/>
  <c r="AK62" i="51"/>
  <c r="AK82" i="51"/>
  <c r="AK83" i="51"/>
  <c r="AK63" i="51"/>
  <c r="AK71" i="51"/>
  <c r="AK100" i="51"/>
  <c r="AK98" i="51"/>
  <c r="AK73" i="51"/>
  <c r="AK80" i="51"/>
  <c r="D57" i="51"/>
  <c r="F57" i="51" s="1"/>
  <c r="N57" i="51" s="1"/>
  <c r="AJ63" i="51"/>
  <c r="AJ108" i="51"/>
  <c r="AJ61" i="51"/>
  <c r="AJ84" i="51"/>
  <c r="AJ90" i="51"/>
  <c r="AJ97" i="51"/>
  <c r="AJ66" i="51"/>
  <c r="AJ96" i="51"/>
  <c r="AJ67" i="51"/>
  <c r="AJ62" i="51"/>
  <c r="AJ99" i="51"/>
  <c r="AJ83" i="51"/>
  <c r="AJ71" i="51"/>
  <c r="AJ65" i="51"/>
  <c r="AJ87" i="51"/>
  <c r="AJ103" i="51"/>
  <c r="AJ106" i="51"/>
  <c r="AJ64" i="51"/>
  <c r="AJ105" i="51"/>
  <c r="AJ92" i="51"/>
  <c r="AJ76" i="51"/>
  <c r="AJ68" i="51"/>
  <c r="AJ82" i="51"/>
  <c r="AJ75" i="51"/>
  <c r="AJ100" i="51"/>
  <c r="AJ107" i="51"/>
  <c r="AJ98" i="51"/>
  <c r="AJ104" i="51"/>
  <c r="AJ80" i="51"/>
  <c r="AJ91" i="51"/>
  <c r="AJ81" i="51"/>
  <c r="AJ74" i="51"/>
  <c r="AJ73" i="51"/>
  <c r="AJ72" i="51"/>
  <c r="AJ95" i="51"/>
  <c r="AJ89" i="51"/>
  <c r="AJ88" i="51"/>
  <c r="AJ79" i="51"/>
  <c r="D56" i="51"/>
  <c r="F56" i="51" s="1"/>
  <c r="N56" i="51" s="1"/>
  <c r="E56" i="51"/>
  <c r="AI95" i="51"/>
  <c r="AI75" i="51"/>
  <c r="AI63" i="51"/>
  <c r="AI83" i="51"/>
  <c r="AI103" i="51"/>
  <c r="AI68" i="51"/>
  <c r="AI89" i="51"/>
  <c r="AI92" i="51"/>
  <c r="AI80" i="51"/>
  <c r="AI82" i="51"/>
  <c r="AI62" i="51"/>
  <c r="AI84" i="51"/>
  <c r="AI67" i="51"/>
  <c r="AI87" i="51"/>
  <c r="AI106" i="51"/>
  <c r="AI105" i="51"/>
  <c r="AI76" i="51"/>
  <c r="AI100" i="51"/>
  <c r="AI107" i="51"/>
  <c r="AI104" i="51"/>
  <c r="AI98" i="51"/>
  <c r="AI71" i="51"/>
  <c r="AI64" i="51"/>
  <c r="AI61" i="51"/>
  <c r="E55" i="51"/>
  <c r="AI108" i="51"/>
  <c r="AI97" i="51"/>
  <c r="AI90" i="51"/>
  <c r="AI66" i="51"/>
  <c r="AI73" i="51"/>
  <c r="AI96" i="51"/>
  <c r="D55" i="51"/>
  <c r="F55" i="51" s="1"/>
  <c r="N55" i="51" s="1"/>
  <c r="AI99" i="51"/>
  <c r="AI91" i="51"/>
  <c r="AI79" i="51"/>
  <c r="AI81" i="51"/>
  <c r="AI72" i="51"/>
  <c r="AI88" i="51"/>
  <c r="AI65" i="51"/>
  <c r="AI74" i="51"/>
  <c r="AH68" i="51"/>
  <c r="AH63" i="51"/>
  <c r="AH84" i="51"/>
  <c r="AH66" i="51"/>
  <c r="E54" i="51"/>
  <c r="AH87" i="51"/>
  <c r="AH96" i="51"/>
  <c r="AH90" i="51"/>
  <c r="AH91" i="51"/>
  <c r="AH97" i="51"/>
  <c r="AH100" i="51"/>
  <c r="AH106" i="51"/>
  <c r="AH107" i="51"/>
  <c r="AH67" i="51"/>
  <c r="AH88" i="51"/>
  <c r="AH72" i="51"/>
  <c r="AH95" i="51"/>
  <c r="AH105" i="51"/>
  <c r="AH80" i="51"/>
  <c r="AH74" i="51"/>
  <c r="AH82" i="51"/>
  <c r="AH98" i="51"/>
  <c r="AH81" i="51"/>
  <c r="AH75" i="51"/>
  <c r="AH103" i="51"/>
  <c r="AH61" i="51"/>
  <c r="AH89" i="51"/>
  <c r="AH71" i="51"/>
  <c r="AH83" i="51"/>
  <c r="AH76" i="51"/>
  <c r="AH73" i="51"/>
  <c r="AH65" i="51"/>
  <c r="AH104" i="51"/>
  <c r="AH108" i="51"/>
  <c r="AH62" i="51"/>
  <c r="AH64" i="51"/>
  <c r="AH79" i="51"/>
  <c r="AH92" i="51"/>
  <c r="AH99" i="51"/>
  <c r="D54" i="51"/>
  <c r="F54" i="51" s="1"/>
  <c r="N54" i="51" s="1"/>
  <c r="AG89" i="51"/>
  <c r="AG75" i="51"/>
  <c r="AG66" i="51"/>
  <c r="AG104" i="51"/>
  <c r="AG97" i="51"/>
  <c r="AG95" i="51"/>
  <c r="AG61" i="51"/>
  <c r="AG87" i="51"/>
  <c r="AG106" i="51"/>
  <c r="AG105" i="51"/>
  <c r="AG80" i="51"/>
  <c r="AG62" i="51"/>
  <c r="AG107" i="51"/>
  <c r="AG108" i="51"/>
  <c r="AG90" i="51"/>
  <c r="AG83" i="51"/>
  <c r="AG96" i="51"/>
  <c r="AG91" i="51"/>
  <c r="AG79" i="51"/>
  <c r="AG74" i="51"/>
  <c r="AG88" i="51"/>
  <c r="AG82" i="51"/>
  <c r="AG81" i="51"/>
  <c r="D53" i="51"/>
  <c r="F53" i="51" s="1"/>
  <c r="N53" i="51" s="1"/>
  <c r="AG103" i="51"/>
  <c r="AG72" i="51"/>
  <c r="E53" i="51"/>
  <c r="AG68" i="51"/>
  <c r="AG98" i="51"/>
  <c r="AG73" i="51"/>
  <c r="AG76" i="51"/>
  <c r="AG100" i="51"/>
  <c r="AG84" i="51"/>
  <c r="AG92" i="51"/>
  <c r="AG63" i="51"/>
  <c r="AG67" i="51"/>
  <c r="AG64" i="51"/>
  <c r="AG65" i="51"/>
  <c r="AG71" i="51"/>
  <c r="AG99" i="51"/>
  <c r="AF84" i="51"/>
  <c r="AF65" i="51"/>
  <c r="AF75" i="51"/>
  <c r="AF107" i="51"/>
  <c r="AF61" i="51"/>
  <c r="AF99" i="51"/>
  <c r="AF66" i="51"/>
  <c r="AF68" i="51"/>
  <c r="AF96" i="51"/>
  <c r="AF106" i="51"/>
  <c r="AF83" i="51"/>
  <c r="AF98" i="51"/>
  <c r="AF73" i="51"/>
  <c r="AF108" i="51"/>
  <c r="AF90" i="51"/>
  <c r="AF97" i="51"/>
  <c r="AF62" i="51"/>
  <c r="AF104" i="51"/>
  <c r="AF67" i="51"/>
  <c r="AF105" i="51"/>
  <c r="AF91" i="51"/>
  <c r="AF95" i="51"/>
  <c r="AF64" i="51"/>
  <c r="AF81" i="51"/>
  <c r="AF76" i="51"/>
  <c r="AF80" i="51"/>
  <c r="AF79" i="51"/>
  <c r="AF72" i="51"/>
  <c r="AF89" i="51"/>
  <c r="AF103" i="51"/>
  <c r="AF63" i="51"/>
  <c r="AF71" i="51"/>
  <c r="AF92" i="51"/>
  <c r="AF88" i="51"/>
  <c r="AF100" i="51"/>
  <c r="AF87" i="51"/>
  <c r="AF82" i="51"/>
  <c r="AF74" i="51"/>
  <c r="AE83" i="51"/>
  <c r="AE87" i="51"/>
  <c r="AE75" i="51"/>
  <c r="AE63" i="51"/>
  <c r="AE64" i="51"/>
  <c r="AE82" i="51"/>
  <c r="AE65" i="51"/>
  <c r="AE67" i="51"/>
  <c r="AE72" i="51"/>
  <c r="AE96" i="51"/>
  <c r="AE90" i="51"/>
  <c r="AE68" i="51"/>
  <c r="AE104" i="51"/>
  <c r="AE97" i="51"/>
  <c r="AE103" i="51"/>
  <c r="AE108" i="51"/>
  <c r="AE89" i="51"/>
  <c r="AE95" i="51"/>
  <c r="AE107" i="51"/>
  <c r="AE92" i="51"/>
  <c r="AE88" i="51"/>
  <c r="AE106" i="51"/>
  <c r="AE91" i="51"/>
  <c r="AE98" i="51"/>
  <c r="AE84" i="51"/>
  <c r="AE71" i="51"/>
  <c r="AE99" i="51"/>
  <c r="AE105" i="51"/>
  <c r="AE76" i="51"/>
  <c r="AE61" i="51"/>
  <c r="AE66" i="51"/>
  <c r="AE81" i="51"/>
  <c r="AE62" i="51"/>
  <c r="AE80" i="51"/>
  <c r="AE74" i="51"/>
  <c r="AE100" i="51"/>
  <c r="AE73" i="51"/>
  <c r="AE79" i="51"/>
  <c r="AD105" i="51"/>
  <c r="AD104" i="51"/>
  <c r="AD90" i="51"/>
  <c r="AD89" i="51"/>
  <c r="AD88" i="51"/>
  <c r="AD74" i="51"/>
  <c r="AD87" i="51"/>
  <c r="AD82" i="51"/>
  <c r="AD103" i="51"/>
  <c r="AD72" i="51"/>
  <c r="AD61" i="51"/>
  <c r="AD100" i="51"/>
  <c r="AD99" i="51"/>
  <c r="AD98" i="51"/>
  <c r="AD76" i="51"/>
  <c r="AD97" i="51"/>
  <c r="AD96" i="51"/>
  <c r="AD73" i="51"/>
  <c r="AD75" i="51"/>
  <c r="AD95" i="51"/>
  <c r="AD84" i="51"/>
  <c r="AD71" i="51"/>
  <c r="AD91" i="51"/>
  <c r="AD68" i="51"/>
  <c r="AD67" i="51"/>
  <c r="AD66" i="51"/>
  <c r="AD63" i="51"/>
  <c r="AD65" i="51"/>
  <c r="AD64" i="51"/>
  <c r="AD92" i="51"/>
  <c r="AD79" i="51"/>
  <c r="AD81" i="51"/>
  <c r="AD62" i="51"/>
  <c r="AD80" i="51"/>
  <c r="AD107" i="51"/>
  <c r="AD108" i="51"/>
  <c r="AD106" i="51"/>
  <c r="AD83" i="51"/>
  <c r="D22" i="51"/>
  <c r="E22" i="51"/>
  <c r="F22" i="51"/>
  <c r="G22" i="51"/>
  <c r="H22" i="51"/>
  <c r="I22" i="51"/>
  <c r="J22" i="51"/>
  <c r="C12" i="51"/>
  <c r="D16" i="51" s="1"/>
  <c r="E6" i="51"/>
  <c r="AD108" i="50"/>
  <c r="AF108" i="50"/>
  <c r="AE108" i="50"/>
  <c r="AE107" i="50"/>
  <c r="AF107" i="50"/>
  <c r="AD107" i="50"/>
  <c r="AE106" i="50"/>
  <c r="AD106" i="50"/>
  <c r="AF106" i="50"/>
  <c r="AD105" i="50"/>
  <c r="AF105" i="50"/>
  <c r="AE105" i="50"/>
  <c r="V109" i="50"/>
  <c r="AD103" i="50"/>
  <c r="AE103" i="50"/>
  <c r="AF103" i="50"/>
  <c r="AF100" i="50"/>
  <c r="AD100" i="50"/>
  <c r="AE100" i="50"/>
  <c r="AE99" i="50"/>
  <c r="AD99" i="50"/>
  <c r="AF99" i="50"/>
  <c r="AE98" i="50"/>
  <c r="AD98" i="50"/>
  <c r="AF98" i="50"/>
  <c r="AE97" i="50"/>
  <c r="AD97" i="50"/>
  <c r="AF96" i="50"/>
  <c r="AE96" i="50"/>
  <c r="AD96" i="50"/>
  <c r="AF95" i="50"/>
  <c r="V101" i="50"/>
  <c r="AE95" i="50"/>
  <c r="AD95" i="50"/>
  <c r="AE89" i="50"/>
  <c r="AD89" i="50"/>
  <c r="AF89" i="50"/>
  <c r="AD88" i="50"/>
  <c r="AE88" i="50"/>
  <c r="AF88" i="50"/>
  <c r="AF87" i="50"/>
  <c r="AE87" i="50"/>
  <c r="AD87" i="50"/>
  <c r="AF84" i="50"/>
  <c r="AE84" i="50"/>
  <c r="AD84" i="50"/>
  <c r="V85" i="50"/>
  <c r="AF83" i="50"/>
  <c r="AE83" i="50"/>
  <c r="AD83" i="50"/>
  <c r="AE81" i="50"/>
  <c r="AF81" i="50"/>
  <c r="AD81" i="50"/>
  <c r="AD80" i="50"/>
  <c r="AE80" i="50"/>
  <c r="AF80" i="50"/>
  <c r="AF79" i="50"/>
  <c r="AE79" i="50"/>
  <c r="AD79" i="50"/>
  <c r="AD76" i="50"/>
  <c r="AF76" i="50"/>
  <c r="AE76" i="50"/>
  <c r="AD75" i="50"/>
  <c r="AE75" i="50"/>
  <c r="AF75" i="50"/>
  <c r="AF74" i="50"/>
  <c r="AD74" i="50"/>
  <c r="AE74" i="50"/>
  <c r="AD73" i="50"/>
  <c r="AF73" i="50"/>
  <c r="AE73" i="50"/>
  <c r="AF72" i="50"/>
  <c r="V77" i="50"/>
  <c r="AE72" i="50"/>
  <c r="AD72" i="50"/>
  <c r="AE67" i="50"/>
  <c r="AF67" i="50"/>
  <c r="AD67" i="50"/>
  <c r="AD66" i="50"/>
  <c r="AE66" i="50"/>
  <c r="AF66" i="50"/>
  <c r="AE65" i="50"/>
  <c r="AD65" i="50"/>
  <c r="AF65" i="50"/>
  <c r="AE64" i="50"/>
  <c r="AF64" i="50"/>
  <c r="AD64" i="50"/>
  <c r="AF63" i="50"/>
  <c r="V69" i="50"/>
  <c r="AD63" i="50"/>
  <c r="AE63" i="50"/>
  <c r="AL104" i="50"/>
  <c r="AL67" i="50"/>
  <c r="AL81" i="50"/>
  <c r="AL68" i="50"/>
  <c r="AL76" i="50"/>
  <c r="AL88" i="50"/>
  <c r="AL100" i="50"/>
  <c r="AL95" i="50"/>
  <c r="AL91" i="50"/>
  <c r="AL73" i="50"/>
  <c r="AL64" i="50"/>
  <c r="AL72" i="50"/>
  <c r="AL71" i="50"/>
  <c r="D58" i="50"/>
  <c r="F58" i="50" s="1"/>
  <c r="N58" i="50" s="1"/>
  <c r="AL80" i="50"/>
  <c r="AL108" i="50"/>
  <c r="AL63" i="50"/>
  <c r="AL87" i="50"/>
  <c r="AL79" i="50"/>
  <c r="AL89" i="50"/>
  <c r="AL75" i="50"/>
  <c r="AL107" i="50"/>
  <c r="AL66" i="50"/>
  <c r="AL90" i="50"/>
  <c r="AL61" i="50"/>
  <c r="AL62" i="50"/>
  <c r="AL74" i="50"/>
  <c r="AL105" i="50"/>
  <c r="AL106" i="50"/>
  <c r="AL65" i="50"/>
  <c r="AL92" i="50"/>
  <c r="AL97" i="50"/>
  <c r="AL99" i="50"/>
  <c r="AL98" i="50"/>
  <c r="AL103" i="50"/>
  <c r="AL96" i="50"/>
  <c r="AL82" i="50"/>
  <c r="AL84" i="50"/>
  <c r="AL83" i="50"/>
  <c r="E58" i="50"/>
  <c r="AK89" i="50"/>
  <c r="AK79" i="50"/>
  <c r="AK88" i="50"/>
  <c r="AK76" i="50"/>
  <c r="AK75" i="50"/>
  <c r="AK87" i="50"/>
  <c r="AK67" i="50"/>
  <c r="AK66" i="50"/>
  <c r="AK65" i="50"/>
  <c r="AK64" i="50"/>
  <c r="AK63" i="50"/>
  <c r="AK62" i="50"/>
  <c r="AK61" i="50"/>
  <c r="D57" i="50"/>
  <c r="F57" i="50" s="1"/>
  <c r="N57" i="50" s="1"/>
  <c r="AK108" i="50"/>
  <c r="AK106" i="50"/>
  <c r="AK105" i="50"/>
  <c r="AK107" i="50"/>
  <c r="AK100" i="50"/>
  <c r="AK99" i="50"/>
  <c r="AK97" i="50"/>
  <c r="AK73" i="50"/>
  <c r="AK98" i="50"/>
  <c r="AK96" i="50"/>
  <c r="AK95" i="50"/>
  <c r="AK84" i="50"/>
  <c r="AK104" i="50"/>
  <c r="AK83" i="50"/>
  <c r="AK82" i="50"/>
  <c r="AK72" i="50"/>
  <c r="AK103" i="50"/>
  <c r="AK92" i="50"/>
  <c r="AK74" i="50"/>
  <c r="E57" i="50"/>
  <c r="AK71" i="50"/>
  <c r="AK91" i="50"/>
  <c r="AK81" i="50"/>
  <c r="AK90" i="50"/>
  <c r="AK68" i="50"/>
  <c r="AK80" i="50"/>
  <c r="AF92" i="50"/>
  <c r="AF71" i="50"/>
  <c r="AF91" i="50"/>
  <c r="AF90" i="50"/>
  <c r="AF68" i="50"/>
  <c r="AE90" i="50"/>
  <c r="AE68" i="50"/>
  <c r="AE92" i="50"/>
  <c r="AE104" i="50"/>
  <c r="AE71" i="50"/>
  <c r="AE91" i="50"/>
  <c r="AD68" i="50"/>
  <c r="AD90" i="50"/>
  <c r="AD91" i="50"/>
  <c r="AD71" i="50"/>
  <c r="AD92" i="50"/>
  <c r="AD104" i="50"/>
  <c r="D56" i="50"/>
  <c r="F56" i="50" s="1"/>
  <c r="N56" i="50" s="1"/>
  <c r="E56" i="50"/>
  <c r="AJ61" i="50"/>
  <c r="AJ62" i="50"/>
  <c r="AJ63" i="50"/>
  <c r="AJ64" i="50"/>
  <c r="AJ65" i="50"/>
  <c r="AJ66" i="50"/>
  <c r="AJ67" i="50"/>
  <c r="AJ68" i="50"/>
  <c r="AJ71" i="50"/>
  <c r="AJ76" i="50"/>
  <c r="AJ79" i="50"/>
  <c r="AJ80" i="50"/>
  <c r="AJ81" i="50"/>
  <c r="AJ82" i="50"/>
  <c r="AJ83" i="50"/>
  <c r="AJ84" i="50"/>
  <c r="AJ87" i="50"/>
  <c r="AJ88" i="50"/>
  <c r="AJ89" i="50"/>
  <c r="AJ90" i="50"/>
  <c r="AJ91" i="50"/>
  <c r="AJ92" i="50"/>
  <c r="AJ103" i="50"/>
  <c r="AJ104" i="50"/>
  <c r="AJ73" i="50"/>
  <c r="AJ74" i="50"/>
  <c r="AJ75" i="50"/>
  <c r="AJ99" i="50"/>
  <c r="AJ105" i="50"/>
  <c r="AJ106" i="50"/>
  <c r="AJ72" i="50"/>
  <c r="AJ97" i="50"/>
  <c r="AJ95" i="50"/>
  <c r="AJ107" i="50"/>
  <c r="AJ108" i="50"/>
  <c r="AJ96" i="50"/>
  <c r="AJ98" i="50"/>
  <c r="AJ100" i="50"/>
  <c r="D55" i="50"/>
  <c r="F55" i="50" s="1"/>
  <c r="N55" i="50" s="1"/>
  <c r="E55" i="50"/>
  <c r="AI61" i="50"/>
  <c r="AI62" i="50"/>
  <c r="AI63" i="50"/>
  <c r="AI64" i="50"/>
  <c r="AI65" i="50"/>
  <c r="AI66" i="50"/>
  <c r="AI67" i="50"/>
  <c r="AI68" i="50"/>
  <c r="AI71" i="50"/>
  <c r="AI72" i="50"/>
  <c r="AI76" i="50"/>
  <c r="AI79" i="50"/>
  <c r="AI80" i="50"/>
  <c r="AI81" i="50"/>
  <c r="AI82" i="50"/>
  <c r="AI83" i="50"/>
  <c r="AI84" i="50"/>
  <c r="AI87" i="50"/>
  <c r="AI88" i="50"/>
  <c r="AI89" i="50"/>
  <c r="AI90" i="50"/>
  <c r="AI91" i="50"/>
  <c r="AI92" i="50"/>
  <c r="AI103" i="50"/>
  <c r="AI104" i="50"/>
  <c r="AI97" i="50"/>
  <c r="AI98" i="50"/>
  <c r="AI73" i="50"/>
  <c r="AI95" i="50"/>
  <c r="AI96" i="50"/>
  <c r="AI99" i="50"/>
  <c r="AI100" i="50"/>
  <c r="AI74" i="50"/>
  <c r="AI75" i="50"/>
  <c r="AI105" i="50"/>
  <c r="AI106" i="50"/>
  <c r="AI107" i="50"/>
  <c r="AI108" i="50"/>
  <c r="D54" i="50"/>
  <c r="F54" i="50" s="1"/>
  <c r="N54" i="50" s="1"/>
  <c r="E54" i="50"/>
  <c r="AH61" i="50"/>
  <c r="AH62" i="50"/>
  <c r="AH63" i="50"/>
  <c r="AH64" i="50"/>
  <c r="AH65" i="50"/>
  <c r="AH66" i="50"/>
  <c r="AH67" i="50"/>
  <c r="AH68" i="50"/>
  <c r="AH71" i="50"/>
  <c r="AH76" i="50"/>
  <c r="AH79" i="50"/>
  <c r="AH80" i="50"/>
  <c r="AH81" i="50"/>
  <c r="AH75" i="50"/>
  <c r="AH82" i="50"/>
  <c r="AH83" i="50"/>
  <c r="AH84" i="50"/>
  <c r="AH87" i="50"/>
  <c r="AH88" i="50"/>
  <c r="AH89" i="50"/>
  <c r="AH90" i="50"/>
  <c r="AH91" i="50"/>
  <c r="AH92" i="50"/>
  <c r="AH103" i="50"/>
  <c r="AH104" i="50"/>
  <c r="AH96" i="50"/>
  <c r="AH97" i="50"/>
  <c r="AH98" i="50"/>
  <c r="AH106" i="50"/>
  <c r="AH72" i="50"/>
  <c r="AH100" i="50"/>
  <c r="AH107" i="50"/>
  <c r="AH99" i="50"/>
  <c r="AH105" i="50"/>
  <c r="AH73" i="50"/>
  <c r="AH74" i="50"/>
  <c r="AH95" i="50"/>
  <c r="AH108" i="50"/>
  <c r="D22" i="50"/>
  <c r="E22" i="50"/>
  <c r="F22" i="50"/>
  <c r="G22" i="50"/>
  <c r="H22" i="50"/>
  <c r="I22" i="50"/>
  <c r="J22" i="50"/>
  <c r="D53" i="50"/>
  <c r="F53" i="50" s="1"/>
  <c r="N53" i="50" s="1"/>
  <c r="E53" i="50"/>
  <c r="AG61" i="50"/>
  <c r="AG62" i="50"/>
  <c r="AG63" i="50"/>
  <c r="AG64" i="50"/>
  <c r="AG65" i="50"/>
  <c r="AG66" i="50"/>
  <c r="AG67" i="50"/>
  <c r="AG68" i="50"/>
  <c r="AG71" i="50"/>
  <c r="AG73" i="50"/>
  <c r="AG76" i="50"/>
  <c r="AG79" i="50"/>
  <c r="AG80" i="50"/>
  <c r="AG81" i="50"/>
  <c r="AG82" i="50"/>
  <c r="AG83" i="50"/>
  <c r="AG84" i="50"/>
  <c r="AG87" i="50"/>
  <c r="AG88" i="50"/>
  <c r="AG89" i="50"/>
  <c r="AG90" i="50"/>
  <c r="AG91" i="50"/>
  <c r="AG92" i="50"/>
  <c r="AG103" i="50"/>
  <c r="AG104" i="50"/>
  <c r="AG75" i="50"/>
  <c r="AG95" i="50"/>
  <c r="AG105" i="50"/>
  <c r="AG74" i="50"/>
  <c r="AG96" i="50"/>
  <c r="AG99" i="50"/>
  <c r="AG107" i="50"/>
  <c r="AG108" i="50"/>
  <c r="AG72" i="50"/>
  <c r="AG98" i="50"/>
  <c r="AG100" i="50"/>
  <c r="AG106" i="50"/>
  <c r="AG97" i="50"/>
  <c r="C12" i="50"/>
  <c r="D16" i="50" s="1"/>
  <c r="E6" i="50"/>
  <c r="W101" i="50"/>
  <c r="AF90" i="49"/>
  <c r="AE90" i="49"/>
  <c r="AE89" i="49"/>
  <c r="AF89" i="49"/>
  <c r="AD88" i="49"/>
  <c r="AF88" i="49"/>
  <c r="AE88" i="49"/>
  <c r="AE87" i="49"/>
  <c r="V93" i="49"/>
  <c r="AD87" i="49"/>
  <c r="AF87" i="49"/>
  <c r="AD79" i="49"/>
  <c r="AF79" i="49"/>
  <c r="AE79" i="49"/>
  <c r="AE76" i="49"/>
  <c r="AF76" i="49"/>
  <c r="AD76" i="49"/>
  <c r="V77" i="49"/>
  <c r="AD75" i="49"/>
  <c r="AF75" i="49"/>
  <c r="AE75" i="49"/>
  <c r="AF66" i="49"/>
  <c r="AE66" i="49"/>
  <c r="AD66" i="49"/>
  <c r="AE65" i="49"/>
  <c r="AF65" i="49"/>
  <c r="V69" i="49"/>
  <c r="AD65" i="49"/>
  <c r="AF100" i="49"/>
  <c r="AF72" i="49"/>
  <c r="AF82" i="49"/>
  <c r="AF67" i="49"/>
  <c r="AF62" i="49"/>
  <c r="AF96" i="49"/>
  <c r="AF61" i="49"/>
  <c r="AF97" i="49"/>
  <c r="AF64" i="49"/>
  <c r="AF92" i="49"/>
  <c r="AF98" i="49"/>
  <c r="AF107" i="49"/>
  <c r="AF108" i="49"/>
  <c r="AF99" i="49"/>
  <c r="AF83" i="49"/>
  <c r="AF104" i="49"/>
  <c r="AF80" i="49"/>
  <c r="AF63" i="49"/>
  <c r="AF71" i="49"/>
  <c r="AF73" i="49"/>
  <c r="AF81" i="49"/>
  <c r="AF68" i="49"/>
  <c r="AF91" i="49"/>
  <c r="AF106" i="49"/>
  <c r="AF103" i="49"/>
  <c r="AF105" i="49"/>
  <c r="AF95" i="49"/>
  <c r="AE106" i="49"/>
  <c r="AE97" i="49"/>
  <c r="AE98" i="49"/>
  <c r="AE99" i="49"/>
  <c r="AE82" i="49"/>
  <c r="AE67" i="49"/>
  <c r="AE108" i="49"/>
  <c r="AE96" i="49"/>
  <c r="AE81" i="49"/>
  <c r="AE105" i="49"/>
  <c r="AE104" i="49"/>
  <c r="AE80" i="49"/>
  <c r="AE103" i="49"/>
  <c r="AE100" i="49"/>
  <c r="AE74" i="49"/>
  <c r="AE95" i="49"/>
  <c r="AE73" i="49"/>
  <c r="AE68" i="49"/>
  <c r="AE92" i="49"/>
  <c r="AE61" i="49"/>
  <c r="AE62" i="49"/>
  <c r="AE63" i="49"/>
  <c r="AE72" i="49"/>
  <c r="AE91" i="49"/>
  <c r="AE64" i="49"/>
  <c r="AE71" i="49"/>
  <c r="AE83" i="49"/>
  <c r="AE107" i="49"/>
  <c r="AD68" i="49"/>
  <c r="AD91" i="49"/>
  <c r="AD99" i="49"/>
  <c r="AD103" i="49"/>
  <c r="AD73" i="49"/>
  <c r="AD96" i="49"/>
  <c r="AD95" i="49"/>
  <c r="AD92" i="49"/>
  <c r="AD80" i="49"/>
  <c r="AD62" i="49"/>
  <c r="AD104" i="49"/>
  <c r="AD61" i="49"/>
  <c r="AD63" i="49"/>
  <c r="AD105" i="49"/>
  <c r="AD72" i="49"/>
  <c r="AD81" i="49"/>
  <c r="AD106" i="49"/>
  <c r="AD64" i="49"/>
  <c r="AD90" i="49"/>
  <c r="AD82" i="49"/>
  <c r="AD107" i="49"/>
  <c r="AD100" i="49"/>
  <c r="AD67" i="49"/>
  <c r="AD83" i="49"/>
  <c r="AD74" i="49"/>
  <c r="AD71" i="49"/>
  <c r="AD98" i="49"/>
  <c r="AD97" i="49"/>
  <c r="AD89" i="49"/>
  <c r="AD108" i="49"/>
  <c r="J25" i="49"/>
  <c r="J31" i="49" s="1"/>
  <c r="M114" i="49" s="1"/>
  <c r="M115" i="49" s="1"/>
  <c r="I25" i="49"/>
  <c r="I31" i="49" s="1"/>
  <c r="L114" i="49" s="1"/>
  <c r="L115" i="49" s="1"/>
  <c r="H25" i="49"/>
  <c r="H31" i="49" s="1"/>
  <c r="K114" i="49" s="1"/>
  <c r="K115" i="49" s="1"/>
  <c r="G25" i="49"/>
  <c r="G31" i="49" s="1"/>
  <c r="J114" i="49" s="1"/>
  <c r="J115" i="49" s="1"/>
  <c r="F25" i="49"/>
  <c r="F31" i="49" s="1"/>
  <c r="I114" i="49" s="1"/>
  <c r="I115" i="49" s="1"/>
  <c r="E25" i="49"/>
  <c r="E31" i="49" s="1"/>
  <c r="H114" i="49" s="1"/>
  <c r="H115" i="49" s="1"/>
  <c r="D25" i="49"/>
  <c r="D31" i="49" s="1"/>
  <c r="G114" i="49" s="1"/>
  <c r="G115" i="49" s="1"/>
  <c r="D58" i="49"/>
  <c r="F58" i="49" s="1"/>
  <c r="N58" i="49" s="1"/>
  <c r="E58" i="49"/>
  <c r="AL61" i="49"/>
  <c r="AL62" i="49"/>
  <c r="AL63" i="49"/>
  <c r="AL64" i="49"/>
  <c r="AL65" i="49"/>
  <c r="AL66" i="49"/>
  <c r="AL67" i="49"/>
  <c r="AL68" i="49"/>
  <c r="AL71" i="49"/>
  <c r="AL72" i="49"/>
  <c r="AL73" i="49"/>
  <c r="AL79" i="49"/>
  <c r="AL80" i="49"/>
  <c r="AL81" i="49"/>
  <c r="AL82" i="49"/>
  <c r="AL83" i="49"/>
  <c r="AL89" i="49"/>
  <c r="AL91" i="49"/>
  <c r="AL92" i="49"/>
  <c r="AL95" i="49"/>
  <c r="AL76" i="49"/>
  <c r="AL90" i="49"/>
  <c r="AL103" i="49"/>
  <c r="AL104" i="49"/>
  <c r="AL74" i="49"/>
  <c r="AL107" i="49"/>
  <c r="AL88" i="49"/>
  <c r="AL97" i="49"/>
  <c r="AL100" i="49"/>
  <c r="AL106" i="49"/>
  <c r="AL75" i="49"/>
  <c r="AL98" i="49"/>
  <c r="AL108" i="49"/>
  <c r="AL87" i="49"/>
  <c r="AL96" i="49"/>
  <c r="AL99" i="49"/>
  <c r="AL84" i="49"/>
  <c r="AL105" i="49"/>
  <c r="D57" i="49"/>
  <c r="F57" i="49" s="1"/>
  <c r="N57" i="49" s="1"/>
  <c r="E57" i="49"/>
  <c r="AK61" i="49"/>
  <c r="AK62" i="49"/>
  <c r="AK63" i="49"/>
  <c r="AK64" i="49"/>
  <c r="AK65" i="49"/>
  <c r="AK66" i="49"/>
  <c r="AK67" i="49"/>
  <c r="AK68" i="49"/>
  <c r="AK71" i="49"/>
  <c r="AK72" i="49"/>
  <c r="AK73" i="49"/>
  <c r="AK79" i="49"/>
  <c r="AK80" i="49"/>
  <c r="AK81" i="49"/>
  <c r="AK82" i="49"/>
  <c r="AK83" i="49"/>
  <c r="AK91" i="49"/>
  <c r="AK92" i="49"/>
  <c r="AK95" i="49"/>
  <c r="AK75" i="49"/>
  <c r="AK87" i="49"/>
  <c r="AK100" i="49"/>
  <c r="AK103" i="49"/>
  <c r="AK104" i="49"/>
  <c r="AK96" i="49"/>
  <c r="AK97" i="49"/>
  <c r="AK98" i="49"/>
  <c r="AK105" i="49"/>
  <c r="AK107" i="49"/>
  <c r="AK108" i="49"/>
  <c r="AK90" i="49"/>
  <c r="AK106" i="49"/>
  <c r="AK84" i="49"/>
  <c r="AK88" i="49"/>
  <c r="AK74" i="49"/>
  <c r="AK89" i="49"/>
  <c r="AK99" i="49"/>
  <c r="AK76" i="49"/>
  <c r="D56" i="49"/>
  <c r="F56" i="49" s="1"/>
  <c r="N56" i="49" s="1"/>
  <c r="E56" i="49"/>
  <c r="AJ61" i="49"/>
  <c r="AJ62" i="49"/>
  <c r="AJ63" i="49"/>
  <c r="AJ64" i="49"/>
  <c r="AJ65" i="49"/>
  <c r="AJ66" i="49"/>
  <c r="AJ67" i="49"/>
  <c r="AJ68" i="49"/>
  <c r="AJ71" i="49"/>
  <c r="AJ72" i="49"/>
  <c r="AJ73" i="49"/>
  <c r="AJ79" i="49"/>
  <c r="AJ80" i="49"/>
  <c r="AJ81" i="49"/>
  <c r="AJ82" i="49"/>
  <c r="AJ83" i="49"/>
  <c r="AJ91" i="49"/>
  <c r="AJ92" i="49"/>
  <c r="AJ95" i="49"/>
  <c r="AJ84" i="49"/>
  <c r="AJ89" i="49"/>
  <c r="AJ103" i="49"/>
  <c r="AJ104" i="49"/>
  <c r="AJ105" i="49"/>
  <c r="AJ88" i="49"/>
  <c r="AJ90" i="49"/>
  <c r="AJ107" i="49"/>
  <c r="AJ98" i="49"/>
  <c r="AJ99" i="49"/>
  <c r="AJ106" i="49"/>
  <c r="AJ76" i="49"/>
  <c r="AJ87" i="49"/>
  <c r="AJ96" i="49"/>
  <c r="AJ97" i="49"/>
  <c r="AJ108" i="49"/>
  <c r="AJ74" i="49"/>
  <c r="AJ75" i="49"/>
  <c r="AJ100" i="49"/>
  <c r="D55" i="49"/>
  <c r="F55" i="49" s="1"/>
  <c r="N55" i="49" s="1"/>
  <c r="E55" i="49"/>
  <c r="AI61" i="49"/>
  <c r="AI62" i="49"/>
  <c r="AI63" i="49"/>
  <c r="AI64" i="49"/>
  <c r="AI65" i="49"/>
  <c r="AI66" i="49"/>
  <c r="AI67" i="49"/>
  <c r="AI68" i="49"/>
  <c r="AI71" i="49"/>
  <c r="AI72" i="49"/>
  <c r="AI73" i="49"/>
  <c r="AI79" i="49"/>
  <c r="AI80" i="49"/>
  <c r="AI81" i="49"/>
  <c r="AI82" i="49"/>
  <c r="AI83" i="49"/>
  <c r="AI91" i="49"/>
  <c r="AI92" i="49"/>
  <c r="AI95" i="49"/>
  <c r="AI75" i="49"/>
  <c r="AI97" i="49"/>
  <c r="AI98" i="49"/>
  <c r="AI103" i="49"/>
  <c r="AI104" i="49"/>
  <c r="AI105" i="49"/>
  <c r="AI74" i="49"/>
  <c r="AI89" i="49"/>
  <c r="AI96" i="49"/>
  <c r="AI99" i="49"/>
  <c r="AI107" i="49"/>
  <c r="AI108" i="49"/>
  <c r="AI88" i="49"/>
  <c r="AI106" i="49"/>
  <c r="AI84" i="49"/>
  <c r="AI90" i="49"/>
  <c r="AI100" i="49"/>
  <c r="AI76" i="49"/>
  <c r="AI87" i="49"/>
  <c r="D54" i="49"/>
  <c r="F54" i="49" s="1"/>
  <c r="N54" i="49" s="1"/>
  <c r="E54" i="49"/>
  <c r="AH61" i="49"/>
  <c r="AH62" i="49"/>
  <c r="AH63" i="49"/>
  <c r="AH64" i="49"/>
  <c r="AH65" i="49"/>
  <c r="AH66" i="49"/>
  <c r="AH67" i="49"/>
  <c r="AH68" i="49"/>
  <c r="AH71" i="49"/>
  <c r="AH72" i="49"/>
  <c r="AH73" i="49"/>
  <c r="AH76" i="49"/>
  <c r="AH79" i="49"/>
  <c r="AH80" i="49"/>
  <c r="AH81" i="49"/>
  <c r="AH82" i="49"/>
  <c r="AH83" i="49"/>
  <c r="AH88" i="49"/>
  <c r="AH90" i="49"/>
  <c r="AH91" i="49"/>
  <c r="AH92" i="49"/>
  <c r="AH95" i="49"/>
  <c r="AH100" i="49"/>
  <c r="AH103" i="49"/>
  <c r="AH104" i="49"/>
  <c r="AH105" i="49"/>
  <c r="AH84" i="49"/>
  <c r="AH107" i="49"/>
  <c r="AH87" i="49"/>
  <c r="AH89" i="49"/>
  <c r="AH96" i="49"/>
  <c r="AH97" i="49"/>
  <c r="AH98" i="49"/>
  <c r="AH106" i="49"/>
  <c r="AH108" i="49"/>
  <c r="AH75" i="49"/>
  <c r="AH99" i="49"/>
  <c r="AH74" i="49"/>
  <c r="D22" i="49"/>
  <c r="E22" i="49"/>
  <c r="F22" i="49"/>
  <c r="G22" i="49"/>
  <c r="H22" i="49"/>
  <c r="I22" i="49"/>
  <c r="J22" i="49"/>
  <c r="D53" i="49"/>
  <c r="F53" i="49" s="1"/>
  <c r="N53" i="49" s="1"/>
  <c r="E53" i="49"/>
  <c r="AG61" i="49"/>
  <c r="AG62" i="49"/>
  <c r="AG63" i="49"/>
  <c r="AG64" i="49"/>
  <c r="AG65" i="49"/>
  <c r="AG66" i="49"/>
  <c r="AG67" i="49"/>
  <c r="AG68" i="49"/>
  <c r="AG71" i="49"/>
  <c r="AG72" i="49"/>
  <c r="AG73" i="49"/>
  <c r="AG79" i="49"/>
  <c r="AG80" i="49"/>
  <c r="AG81" i="49"/>
  <c r="AG82" i="49"/>
  <c r="AG83" i="49"/>
  <c r="AG91" i="49"/>
  <c r="AG92" i="49"/>
  <c r="AG95" i="49"/>
  <c r="AG88" i="49"/>
  <c r="AG89" i="49"/>
  <c r="AG90" i="49"/>
  <c r="AG103" i="49"/>
  <c r="AG104" i="49"/>
  <c r="AG105" i="49"/>
  <c r="AG76" i="49"/>
  <c r="AG96" i="49"/>
  <c r="AG98" i="49"/>
  <c r="AG107" i="49"/>
  <c r="AG99" i="49"/>
  <c r="AG106" i="49"/>
  <c r="AG108" i="49"/>
  <c r="AG74" i="49"/>
  <c r="AG87" i="49"/>
  <c r="AG75" i="49"/>
  <c r="AG97" i="49"/>
  <c r="AG100" i="49"/>
  <c r="AG84" i="49"/>
  <c r="C12" i="49"/>
  <c r="D16" i="49" s="1"/>
  <c r="E6" i="49"/>
  <c r="W109" i="49"/>
  <c r="W101" i="49"/>
  <c r="W93" i="49"/>
  <c r="V101" i="48"/>
  <c r="AE95" i="48"/>
  <c r="AF95" i="48"/>
  <c r="AF91" i="48"/>
  <c r="AE91" i="48"/>
  <c r="AF90" i="48"/>
  <c r="AE90" i="48"/>
  <c r="AF89" i="48"/>
  <c r="AE89" i="48"/>
  <c r="AF88" i="48"/>
  <c r="AE88" i="48"/>
  <c r="V93" i="48"/>
  <c r="AF87" i="48"/>
  <c r="AE87" i="48"/>
  <c r="AF84" i="48"/>
  <c r="AE84" i="48"/>
  <c r="AF83" i="48"/>
  <c r="AE83" i="48"/>
  <c r="AE82" i="48"/>
  <c r="AF82" i="48"/>
  <c r="AF81" i="48"/>
  <c r="AE81" i="48"/>
  <c r="V85" i="48"/>
  <c r="AF79" i="48"/>
  <c r="AE79" i="48"/>
  <c r="AF76" i="48"/>
  <c r="V77" i="48"/>
  <c r="AE76" i="48"/>
  <c r="AF72" i="48"/>
  <c r="AE72" i="48"/>
  <c r="AF71" i="48"/>
  <c r="AE71" i="48"/>
  <c r="AF68" i="48"/>
  <c r="AE68" i="48"/>
  <c r="AF67" i="48"/>
  <c r="AE67" i="48"/>
  <c r="AF65" i="48"/>
  <c r="AE65" i="48"/>
  <c r="AE64" i="48"/>
  <c r="AF64" i="48"/>
  <c r="V69" i="48"/>
  <c r="AF107" i="48"/>
  <c r="AF104" i="48"/>
  <c r="AF100" i="48"/>
  <c r="AF75" i="48"/>
  <c r="AF108" i="48"/>
  <c r="AF61" i="48"/>
  <c r="AF98" i="48"/>
  <c r="AF105" i="48"/>
  <c r="AF74" i="48"/>
  <c r="AF97" i="48"/>
  <c r="AF103" i="48"/>
  <c r="AF63" i="48"/>
  <c r="AF106" i="48"/>
  <c r="AF62" i="48"/>
  <c r="AF99" i="48"/>
  <c r="AE108" i="48"/>
  <c r="AE63" i="48"/>
  <c r="AE103" i="48"/>
  <c r="AE99" i="48"/>
  <c r="AE97" i="48"/>
  <c r="AE98" i="48"/>
  <c r="AE96" i="48"/>
  <c r="AE105" i="48"/>
  <c r="AE100" i="48"/>
  <c r="AE107" i="48"/>
  <c r="AE74" i="48"/>
  <c r="AE75" i="48"/>
  <c r="AE104" i="48"/>
  <c r="AE73" i="48"/>
  <c r="AE106" i="48"/>
  <c r="AE61" i="48"/>
  <c r="AE62" i="48"/>
  <c r="AD108" i="48"/>
  <c r="AD90" i="48"/>
  <c r="AD96" i="48"/>
  <c r="AD98" i="48"/>
  <c r="AD82" i="48"/>
  <c r="AD76" i="48"/>
  <c r="AD71" i="48"/>
  <c r="AD72" i="48"/>
  <c r="AD80" i="48"/>
  <c r="AD107" i="48"/>
  <c r="AD68" i="48"/>
  <c r="AD97" i="48"/>
  <c r="AD67" i="48"/>
  <c r="AD81" i="48"/>
  <c r="AD103" i="48"/>
  <c r="AD66" i="48"/>
  <c r="AD63" i="48"/>
  <c r="AD84" i="48"/>
  <c r="AD73" i="48"/>
  <c r="AD106" i="48"/>
  <c r="AD62" i="48"/>
  <c r="AD61" i="48"/>
  <c r="AD65" i="48"/>
  <c r="AD100" i="48"/>
  <c r="AD79" i="48"/>
  <c r="AD88" i="48"/>
  <c r="AD74" i="48"/>
  <c r="AD105" i="48"/>
  <c r="AD83" i="48"/>
  <c r="AD89" i="48"/>
  <c r="AD92" i="48"/>
  <c r="AD95" i="48"/>
  <c r="AD75" i="48"/>
  <c r="AD64" i="48"/>
  <c r="AD104" i="48"/>
  <c r="AD99" i="48"/>
  <c r="AD87" i="48"/>
  <c r="AD91" i="48"/>
  <c r="D58" i="48"/>
  <c r="F58" i="48" s="1"/>
  <c r="N58" i="48" s="1"/>
  <c r="E58" i="48"/>
  <c r="AL61" i="48"/>
  <c r="AL62" i="48"/>
  <c r="AL63" i="48"/>
  <c r="AL71" i="48"/>
  <c r="AL72" i="48"/>
  <c r="AL73" i="48"/>
  <c r="AL74" i="48"/>
  <c r="AL75" i="48"/>
  <c r="AL64" i="48"/>
  <c r="AL65" i="48"/>
  <c r="AL66" i="48"/>
  <c r="AL76" i="48"/>
  <c r="AL79" i="48"/>
  <c r="AL80" i="48"/>
  <c r="AL81" i="48"/>
  <c r="AL82" i="48"/>
  <c r="AL83" i="48"/>
  <c r="AL88" i="48"/>
  <c r="AL91" i="48"/>
  <c r="AL92" i="48"/>
  <c r="AL95" i="48"/>
  <c r="AL98" i="48"/>
  <c r="AL99" i="48"/>
  <c r="AL103" i="48"/>
  <c r="AL104" i="48"/>
  <c r="AL105" i="48"/>
  <c r="AL106" i="48"/>
  <c r="AL107" i="48"/>
  <c r="AL108" i="48"/>
  <c r="AL68" i="48"/>
  <c r="AL87" i="48"/>
  <c r="AL89" i="48"/>
  <c r="AL97" i="48"/>
  <c r="AL96" i="48"/>
  <c r="AL67" i="48"/>
  <c r="AL84" i="48"/>
  <c r="AL90" i="48"/>
  <c r="AL100" i="48"/>
  <c r="D57" i="48"/>
  <c r="F57" i="48" s="1"/>
  <c r="N57" i="48" s="1"/>
  <c r="E57" i="48"/>
  <c r="AK61" i="48"/>
  <c r="AK62" i="48"/>
  <c r="AK63" i="48"/>
  <c r="AK71" i="48"/>
  <c r="AK72" i="48"/>
  <c r="AK73" i="48"/>
  <c r="AK74" i="48"/>
  <c r="AK75" i="48"/>
  <c r="AK64" i="48"/>
  <c r="AK65" i="48"/>
  <c r="AK67" i="48"/>
  <c r="AK76" i="48"/>
  <c r="AK68" i="48"/>
  <c r="AK79" i="48"/>
  <c r="AK80" i="48"/>
  <c r="AK81" i="48"/>
  <c r="AK82" i="48"/>
  <c r="AK83" i="48"/>
  <c r="AK84" i="48"/>
  <c r="AK88" i="48"/>
  <c r="AK89" i="48"/>
  <c r="AK92" i="48"/>
  <c r="AK99" i="48"/>
  <c r="AK103" i="48"/>
  <c r="AK104" i="48"/>
  <c r="AK105" i="48"/>
  <c r="AK106" i="48"/>
  <c r="AK107" i="48"/>
  <c r="AK108" i="48"/>
  <c r="AK90" i="48"/>
  <c r="AK95" i="48"/>
  <c r="AK96" i="48"/>
  <c r="AK97" i="48"/>
  <c r="AK66" i="48"/>
  <c r="AK87" i="48"/>
  <c r="AK91" i="48"/>
  <c r="AK98" i="48"/>
  <c r="AK100" i="48"/>
  <c r="D56" i="48"/>
  <c r="F56" i="48" s="1"/>
  <c r="N56" i="48" s="1"/>
  <c r="E56" i="48"/>
  <c r="AJ61" i="48"/>
  <c r="AJ62" i="48"/>
  <c r="AJ63" i="48"/>
  <c r="AJ71" i="48"/>
  <c r="AJ72" i="48"/>
  <c r="AJ73" i="48"/>
  <c r="AJ74" i="48"/>
  <c r="AJ75" i="48"/>
  <c r="AJ64" i="48"/>
  <c r="AJ65" i="48"/>
  <c r="AJ66" i="48"/>
  <c r="AJ67" i="48"/>
  <c r="AJ68" i="48"/>
  <c r="AJ76" i="48"/>
  <c r="AJ79" i="48"/>
  <c r="AJ84" i="48"/>
  <c r="AJ80" i="48"/>
  <c r="AJ81" i="48"/>
  <c r="AJ82" i="48"/>
  <c r="AJ88" i="48"/>
  <c r="AJ89" i="48"/>
  <c r="AJ90" i="48"/>
  <c r="AJ91" i="48"/>
  <c r="AJ92" i="48"/>
  <c r="AJ95" i="48"/>
  <c r="AJ98" i="48"/>
  <c r="AJ99" i="48"/>
  <c r="AJ103" i="48"/>
  <c r="AJ104" i="48"/>
  <c r="AJ105" i="48"/>
  <c r="AJ106" i="48"/>
  <c r="AJ107" i="48"/>
  <c r="AJ108" i="48"/>
  <c r="AJ87" i="48"/>
  <c r="AJ96" i="48"/>
  <c r="AJ100" i="48"/>
  <c r="AJ83" i="48"/>
  <c r="AJ97" i="48"/>
  <c r="D55" i="48"/>
  <c r="F55" i="48" s="1"/>
  <c r="N55" i="48" s="1"/>
  <c r="E55" i="48"/>
  <c r="AI61" i="48"/>
  <c r="AI62" i="48"/>
  <c r="AI63" i="48"/>
  <c r="AI71" i="48"/>
  <c r="AI72" i="48"/>
  <c r="AI73" i="48"/>
  <c r="AI74" i="48"/>
  <c r="AI75" i="48"/>
  <c r="AI64" i="48"/>
  <c r="AI65" i="48"/>
  <c r="AI66" i="48"/>
  <c r="AI67" i="48"/>
  <c r="AI68" i="48"/>
  <c r="AI76" i="48"/>
  <c r="AI79" i="48"/>
  <c r="AI80" i="48"/>
  <c r="AI81" i="48"/>
  <c r="AI82" i="48"/>
  <c r="AI83" i="48"/>
  <c r="AI84" i="48"/>
  <c r="AI87" i="48"/>
  <c r="AI88" i="48"/>
  <c r="AI89" i="48"/>
  <c r="AI90" i="48"/>
  <c r="AI92" i="48"/>
  <c r="AI95" i="48"/>
  <c r="AI98" i="48"/>
  <c r="AI99" i="48"/>
  <c r="AI103" i="48"/>
  <c r="AI104" i="48"/>
  <c r="AI105" i="48"/>
  <c r="AI106" i="48"/>
  <c r="AI107" i="48"/>
  <c r="AI108" i="48"/>
  <c r="AI91" i="48"/>
  <c r="AI96" i="48"/>
  <c r="AI97" i="48"/>
  <c r="AI100" i="48"/>
  <c r="D54" i="48"/>
  <c r="F54" i="48" s="1"/>
  <c r="N54" i="48" s="1"/>
  <c r="E54" i="48"/>
  <c r="AH61" i="48"/>
  <c r="AH62" i="48"/>
  <c r="AH63" i="48"/>
  <c r="AH71" i="48"/>
  <c r="AH72" i="48"/>
  <c r="AH73" i="48"/>
  <c r="AH74" i="48"/>
  <c r="AH75" i="48"/>
  <c r="AH64" i="48"/>
  <c r="AH65" i="48"/>
  <c r="AH66" i="48"/>
  <c r="AH67" i="48"/>
  <c r="AH80" i="48"/>
  <c r="AH84" i="48"/>
  <c r="AH79" i="48"/>
  <c r="AH81" i="48"/>
  <c r="AH82" i="48"/>
  <c r="AH83" i="48"/>
  <c r="AH87" i="48"/>
  <c r="AH88" i="48"/>
  <c r="AH89" i="48"/>
  <c r="AH90" i="48"/>
  <c r="AH91" i="48"/>
  <c r="AH92" i="48"/>
  <c r="AH95" i="48"/>
  <c r="AH98" i="48"/>
  <c r="AH99" i="48"/>
  <c r="AH103" i="48"/>
  <c r="AH104" i="48"/>
  <c r="AH105" i="48"/>
  <c r="AH106" i="48"/>
  <c r="AH107" i="48"/>
  <c r="AH108" i="48"/>
  <c r="AH96" i="48"/>
  <c r="AH97" i="48"/>
  <c r="AH76" i="48"/>
  <c r="AH100" i="48"/>
  <c r="AH68" i="48"/>
  <c r="E22" i="48"/>
  <c r="G22" i="48"/>
  <c r="J22" i="48"/>
  <c r="D22" i="48"/>
  <c r="F22" i="48"/>
  <c r="H22" i="48"/>
  <c r="I22" i="48"/>
  <c r="D53" i="48"/>
  <c r="F53" i="48" s="1"/>
  <c r="N53" i="48" s="1"/>
  <c r="E53" i="48"/>
  <c r="AG61" i="48"/>
  <c r="AG62" i="48"/>
  <c r="AG63" i="48"/>
  <c r="AG71" i="48"/>
  <c r="AG72" i="48"/>
  <c r="AG73" i="48"/>
  <c r="AG74" i="48"/>
  <c r="AG75" i="48"/>
  <c r="AG64" i="48"/>
  <c r="AG65" i="48"/>
  <c r="AG66" i="48"/>
  <c r="AG79" i="48"/>
  <c r="AG80" i="48"/>
  <c r="AG84" i="48"/>
  <c r="AG68" i="48"/>
  <c r="AG76" i="48"/>
  <c r="AG81" i="48"/>
  <c r="AG82" i="48"/>
  <c r="AG83" i="48"/>
  <c r="AG88" i="48"/>
  <c r="AG89" i="48"/>
  <c r="AG90" i="48"/>
  <c r="AG91" i="48"/>
  <c r="AG92" i="48"/>
  <c r="AG95" i="48"/>
  <c r="AG98" i="48"/>
  <c r="AG99" i="48"/>
  <c r="AG103" i="48"/>
  <c r="AG104" i="48"/>
  <c r="AG105" i="48"/>
  <c r="AG106" i="48"/>
  <c r="AG107" i="48"/>
  <c r="AG108" i="48"/>
  <c r="AG67" i="48"/>
  <c r="AG96" i="48"/>
  <c r="AG87" i="48"/>
  <c r="AG97" i="48"/>
  <c r="AG100" i="48"/>
  <c r="C12" i="48"/>
  <c r="D16" i="48" s="1"/>
  <c r="E6" i="48"/>
  <c r="W111" i="50" l="1"/>
  <c r="J30" i="48"/>
  <c r="I30" i="48"/>
  <c r="H30" i="48"/>
  <c r="G30" i="48"/>
  <c r="F30" i="48"/>
  <c r="E30" i="48"/>
  <c r="D30" i="48"/>
  <c r="J29" i="48"/>
  <c r="I29" i="48"/>
  <c r="H29" i="48"/>
  <c r="G29" i="48"/>
  <c r="F29" i="48"/>
  <c r="E29" i="48"/>
  <c r="D29" i="48"/>
  <c r="J28" i="48"/>
  <c r="I28" i="48"/>
  <c r="H28" i="48"/>
  <c r="G28" i="48"/>
  <c r="F28" i="48"/>
  <c r="E28" i="48"/>
  <c r="D28" i="48"/>
  <c r="J27" i="48"/>
  <c r="I27" i="48"/>
  <c r="H27" i="48"/>
  <c r="G27" i="48"/>
  <c r="F27" i="48"/>
  <c r="E27" i="48"/>
  <c r="D27" i="48"/>
  <c r="J26" i="48"/>
  <c r="I26" i="48"/>
  <c r="H26" i="48"/>
  <c r="G26" i="48"/>
  <c r="F26" i="48"/>
  <c r="E26" i="48"/>
  <c r="D26" i="48"/>
  <c r="J30" i="50"/>
  <c r="I30" i="50"/>
  <c r="H30" i="50"/>
  <c r="G30" i="50"/>
  <c r="F30" i="50"/>
  <c r="E30" i="50"/>
  <c r="D30" i="50"/>
  <c r="J29" i="50"/>
  <c r="I29" i="50"/>
  <c r="H29" i="50"/>
  <c r="G29" i="50"/>
  <c r="F29" i="50"/>
  <c r="E29" i="50"/>
  <c r="D29" i="50"/>
  <c r="J28" i="50"/>
  <c r="I28" i="50"/>
  <c r="H28" i="50"/>
  <c r="G28" i="50"/>
  <c r="F28" i="50"/>
  <c r="E28" i="50"/>
  <c r="D28" i="50"/>
  <c r="J27" i="50"/>
  <c r="I27" i="50"/>
  <c r="H27" i="50"/>
  <c r="G27" i="50"/>
  <c r="F27" i="50"/>
  <c r="E27" i="50"/>
  <c r="D27" i="50"/>
  <c r="J26" i="50"/>
  <c r="I26" i="50"/>
  <c r="H26" i="50"/>
  <c r="G26" i="50"/>
  <c r="F26" i="50"/>
  <c r="E26" i="50"/>
  <c r="D26" i="50"/>
  <c r="J30" i="51"/>
  <c r="I30" i="51"/>
  <c r="H30" i="51"/>
  <c r="G30" i="51"/>
  <c r="F30" i="51"/>
  <c r="E30" i="51"/>
  <c r="D30" i="51"/>
  <c r="J29" i="51"/>
  <c r="I29" i="51"/>
  <c r="H29" i="51"/>
  <c r="G29" i="51"/>
  <c r="F29" i="51"/>
  <c r="E29" i="51"/>
  <c r="D29" i="51"/>
  <c r="J28" i="51"/>
  <c r="I28" i="51"/>
  <c r="H28" i="51"/>
  <c r="G28" i="51"/>
  <c r="F28" i="51"/>
  <c r="E28" i="51"/>
  <c r="D28" i="51"/>
  <c r="J27" i="51"/>
  <c r="I27" i="51"/>
  <c r="H27" i="51"/>
  <c r="G27" i="51"/>
  <c r="F27" i="51"/>
  <c r="E27" i="51"/>
  <c r="D27" i="51"/>
  <c r="J26" i="51"/>
  <c r="I26" i="51"/>
  <c r="H26" i="51"/>
  <c r="G26" i="51"/>
  <c r="F26" i="51"/>
  <c r="E26" i="51"/>
  <c r="D26" i="51"/>
  <c r="E25" i="51"/>
  <c r="E31" i="51" s="1"/>
  <c r="H114" i="51" s="1"/>
  <c r="H115" i="51" s="1"/>
  <c r="D25" i="51"/>
  <c r="D31" i="51" s="1"/>
  <c r="G114" i="51" s="1"/>
  <c r="G115" i="51" s="1"/>
  <c r="F25" i="51"/>
  <c r="F31" i="51" s="1"/>
  <c r="I114" i="51" s="1"/>
  <c r="I115" i="51" s="1"/>
  <c r="H25" i="51"/>
  <c r="H31" i="51" s="1"/>
  <c r="K114" i="51" s="1"/>
  <c r="K115" i="51" s="1"/>
  <c r="I25" i="51"/>
  <c r="I31" i="51" s="1"/>
  <c r="L114" i="51" s="1"/>
  <c r="L115" i="51" s="1"/>
  <c r="J25" i="51"/>
  <c r="J31" i="51" s="1"/>
  <c r="M114" i="51" s="1"/>
  <c r="M115" i="51" s="1"/>
  <c r="G25" i="51"/>
  <c r="G31" i="51" s="1"/>
  <c r="J114" i="51" s="1"/>
  <c r="J115" i="51" s="1"/>
  <c r="F25" i="50"/>
  <c r="F31" i="50" s="1"/>
  <c r="I114" i="50" s="1"/>
  <c r="I115" i="50" s="1"/>
  <c r="G25" i="50"/>
  <c r="G31" i="50" s="1"/>
  <c r="J114" i="50" s="1"/>
  <c r="J115" i="50" s="1"/>
  <c r="H25" i="50"/>
  <c r="H31" i="50" s="1"/>
  <c r="K114" i="50" s="1"/>
  <c r="K115" i="50" s="1"/>
  <c r="I25" i="50"/>
  <c r="I31" i="50" s="1"/>
  <c r="L114" i="50" s="1"/>
  <c r="L115" i="50" s="1"/>
  <c r="J25" i="50"/>
  <c r="J31" i="50" s="1"/>
  <c r="M114" i="50" s="1"/>
  <c r="M115" i="50" s="1"/>
  <c r="D25" i="50"/>
  <c r="D31" i="50" s="1"/>
  <c r="G114" i="50" s="1"/>
  <c r="G115" i="50" s="1"/>
  <c r="E25" i="50"/>
  <c r="E31" i="50" s="1"/>
  <c r="H114" i="50" s="1"/>
  <c r="H115" i="50" s="1"/>
  <c r="F25" i="48"/>
  <c r="F31" i="48" s="1"/>
  <c r="I114" i="48" s="1"/>
  <c r="I115" i="48" s="1"/>
  <c r="I25" i="48"/>
  <c r="I31" i="48" s="1"/>
  <c r="L114" i="48" s="1"/>
  <c r="L115" i="48" s="1"/>
  <c r="E25" i="48"/>
  <c r="E31" i="48" s="1"/>
  <c r="H114" i="48" s="1"/>
  <c r="H115" i="48" s="1"/>
  <c r="J25" i="48"/>
  <c r="J31" i="48" s="1"/>
  <c r="M114" i="48" s="1"/>
  <c r="M115" i="48" s="1"/>
  <c r="D25" i="48"/>
  <c r="D31" i="48" s="1"/>
  <c r="G114" i="48" s="1"/>
  <c r="G115" i="48" s="1"/>
  <c r="G25" i="48"/>
  <c r="G31" i="48" s="1"/>
  <c r="J114" i="48" s="1"/>
  <c r="J115" i="48" s="1"/>
  <c r="H25" i="48"/>
  <c r="H31" i="48" s="1"/>
  <c r="K114" i="48" s="1"/>
  <c r="K115" i="48" s="1"/>
  <c r="V111" i="49"/>
  <c r="V111" i="51"/>
  <c r="AF109" i="48"/>
  <c r="AE109" i="51"/>
  <c r="G58" i="51"/>
  <c r="T58" i="51"/>
  <c r="T57" i="51"/>
  <c r="G57" i="51"/>
  <c r="G56" i="51"/>
  <c r="T56" i="51"/>
  <c r="T55" i="51"/>
  <c r="G55" i="51"/>
  <c r="T54" i="51"/>
  <c r="G54" i="51"/>
  <c r="T53" i="51"/>
  <c r="G53" i="51"/>
  <c r="D23" i="51"/>
  <c r="D34" i="51"/>
  <c r="G112" i="51" s="1"/>
  <c r="E23" i="51"/>
  <c r="E34" i="51"/>
  <c r="H112" i="51" s="1"/>
  <c r="H113" i="51" s="1"/>
  <c r="F23" i="51"/>
  <c r="F34" i="51"/>
  <c r="I112" i="51" s="1"/>
  <c r="I113" i="51" s="1"/>
  <c r="G23" i="51"/>
  <c r="G34" i="51"/>
  <c r="J112" i="51" s="1"/>
  <c r="J113" i="51" s="1"/>
  <c r="H23" i="51"/>
  <c r="H34" i="51"/>
  <c r="K112" i="51" s="1"/>
  <c r="K113" i="51" s="1"/>
  <c r="I23" i="51"/>
  <c r="I34" i="51"/>
  <c r="L112" i="51" s="1"/>
  <c r="L113" i="51" s="1"/>
  <c r="J23" i="51"/>
  <c r="J34" i="51"/>
  <c r="M112" i="51" s="1"/>
  <c r="M113" i="51" s="1"/>
  <c r="AD109" i="51"/>
  <c r="AL109" i="51"/>
  <c r="AK109" i="51"/>
  <c r="AH109" i="51"/>
  <c r="AG109" i="51"/>
  <c r="AF109" i="51"/>
  <c r="AJ109" i="51"/>
  <c r="AI109" i="51"/>
  <c r="T58" i="50"/>
  <c r="G58" i="50"/>
  <c r="T57" i="50"/>
  <c r="G57" i="50"/>
  <c r="T56" i="50"/>
  <c r="G56" i="50"/>
  <c r="G55" i="50"/>
  <c r="T55" i="50"/>
  <c r="G54" i="50"/>
  <c r="T54" i="50"/>
  <c r="D23" i="50"/>
  <c r="D34" i="50"/>
  <c r="G112" i="50" s="1"/>
  <c r="E23" i="50"/>
  <c r="E34" i="50"/>
  <c r="H112" i="50" s="1"/>
  <c r="H113" i="50" s="1"/>
  <c r="F23" i="50"/>
  <c r="F34" i="50"/>
  <c r="I112" i="50" s="1"/>
  <c r="I113" i="50" s="1"/>
  <c r="G23" i="50"/>
  <c r="G34" i="50"/>
  <c r="J112" i="50" s="1"/>
  <c r="J113" i="50" s="1"/>
  <c r="H23" i="50"/>
  <c r="H34" i="50"/>
  <c r="K112" i="50" s="1"/>
  <c r="K113" i="50" s="1"/>
  <c r="I23" i="50"/>
  <c r="I34" i="50"/>
  <c r="L112" i="50" s="1"/>
  <c r="L113" i="50" s="1"/>
  <c r="J23" i="50"/>
  <c r="J34" i="50"/>
  <c r="M112" i="50" s="1"/>
  <c r="M113" i="50" s="1"/>
  <c r="G53" i="50"/>
  <c r="T53" i="50"/>
  <c r="AL109" i="50"/>
  <c r="AF109" i="50"/>
  <c r="AK109" i="50"/>
  <c r="AD109" i="50"/>
  <c r="AH109" i="50"/>
  <c r="AG109" i="50"/>
  <c r="V111" i="50"/>
  <c r="AE109" i="50"/>
  <c r="AI109" i="50"/>
  <c r="AJ109" i="50"/>
  <c r="G58" i="49"/>
  <c r="T58" i="49"/>
  <c r="G57" i="49"/>
  <c r="T57" i="49"/>
  <c r="G56" i="49"/>
  <c r="T56" i="49"/>
  <c r="G55" i="49"/>
  <c r="T55" i="49"/>
  <c r="G54" i="49"/>
  <c r="T54" i="49"/>
  <c r="D23" i="49"/>
  <c r="D34" i="49"/>
  <c r="G112" i="49" s="1"/>
  <c r="E23" i="49"/>
  <c r="E34" i="49"/>
  <c r="H112" i="49" s="1"/>
  <c r="H113" i="49" s="1"/>
  <c r="F23" i="49"/>
  <c r="F34" i="49"/>
  <c r="I112" i="49" s="1"/>
  <c r="I113" i="49" s="1"/>
  <c r="G23" i="49"/>
  <c r="G34" i="49"/>
  <c r="J112" i="49" s="1"/>
  <c r="J113" i="49" s="1"/>
  <c r="H23" i="49"/>
  <c r="H34" i="49"/>
  <c r="K112" i="49" s="1"/>
  <c r="K113" i="49" s="1"/>
  <c r="I23" i="49"/>
  <c r="I34" i="49"/>
  <c r="L112" i="49" s="1"/>
  <c r="L113" i="49" s="1"/>
  <c r="J23" i="49"/>
  <c r="J34" i="49"/>
  <c r="M112" i="49" s="1"/>
  <c r="M113" i="49" s="1"/>
  <c r="G53" i="49"/>
  <c r="T53" i="49"/>
  <c r="AL109" i="49"/>
  <c r="AK109" i="49"/>
  <c r="AJ109" i="49"/>
  <c r="AI109" i="49"/>
  <c r="AH109" i="49"/>
  <c r="AG109" i="49"/>
  <c r="W111" i="49"/>
  <c r="AF109" i="49"/>
  <c r="AE109" i="49"/>
  <c r="AD109" i="49"/>
  <c r="G58" i="48"/>
  <c r="T58" i="48"/>
  <c r="G57" i="48"/>
  <c r="T57" i="48"/>
  <c r="G56" i="48"/>
  <c r="T56" i="48"/>
  <c r="G55" i="48"/>
  <c r="T55" i="48"/>
  <c r="G54" i="48"/>
  <c r="T54" i="48"/>
  <c r="E23" i="48"/>
  <c r="E34" i="48"/>
  <c r="H112" i="48" s="1"/>
  <c r="H113" i="48" s="1"/>
  <c r="G34" i="48"/>
  <c r="J112" i="48" s="1"/>
  <c r="J113" i="48" s="1"/>
  <c r="G23" i="48"/>
  <c r="J23" i="48"/>
  <c r="J34" i="48"/>
  <c r="M112" i="48" s="1"/>
  <c r="M113" i="48" s="1"/>
  <c r="D23" i="48"/>
  <c r="D34" i="48"/>
  <c r="G112" i="48" s="1"/>
  <c r="F23" i="48"/>
  <c r="F34" i="48"/>
  <c r="I112" i="48" s="1"/>
  <c r="I113" i="48" s="1"/>
  <c r="H23" i="48"/>
  <c r="H34" i="48"/>
  <c r="K112" i="48" s="1"/>
  <c r="K113" i="48" s="1"/>
  <c r="I23" i="48"/>
  <c r="I34" i="48"/>
  <c r="L112" i="48" s="1"/>
  <c r="L113" i="48" s="1"/>
  <c r="G53" i="48"/>
  <c r="T53" i="48"/>
  <c r="AE109" i="48"/>
  <c r="AI109" i="48"/>
  <c r="AH109" i="48"/>
  <c r="AG109" i="48"/>
  <c r="V111" i="48"/>
  <c r="AL109" i="48"/>
  <c r="AJ109" i="48"/>
  <c r="AK109" i="48"/>
  <c r="AD109" i="48"/>
  <c r="G113" i="51" l="1"/>
  <c r="B117" i="51" a="1"/>
  <c r="G113" i="50"/>
  <c r="B117" i="50" a="1"/>
  <c r="G113" i="49"/>
  <c r="B117" i="49" s="1" a="1"/>
  <c r="G113" i="48"/>
  <c r="B117" i="48" a="1"/>
  <c r="AF62" i="22" l="1"/>
  <c r="AE62" i="22"/>
  <c r="AD62" i="22"/>
  <c r="AF61" i="22"/>
  <c r="AE61" i="22"/>
  <c r="AD61" i="22"/>
  <c r="E16" i="22" l="1"/>
  <c r="T63" i="22"/>
  <c r="V104" i="22"/>
  <c r="V105" i="22"/>
  <c r="AD105" i="22" s="1"/>
  <c r="V106" i="22"/>
  <c r="AF106" i="22" s="1"/>
  <c r="V107" i="22"/>
  <c r="V108" i="22"/>
  <c r="V96" i="22"/>
  <c r="AF96" i="22" s="1"/>
  <c r="V97" i="22"/>
  <c r="V98" i="22"/>
  <c r="V99" i="22"/>
  <c r="AD99" i="22" s="1"/>
  <c r="V100" i="22"/>
  <c r="AF100" i="22" s="1"/>
  <c r="V89" i="22"/>
  <c r="V90" i="22"/>
  <c r="V81" i="22"/>
  <c r="V83" i="22"/>
  <c r="V75" i="22"/>
  <c r="AE75" i="22" s="1"/>
  <c r="V68" i="22"/>
  <c r="AF68" i="22" s="1"/>
  <c r="AH10" i="7"/>
  <c r="AH9" i="7"/>
  <c r="AH8" i="7"/>
  <c r="AH7" i="7"/>
  <c r="AH6" i="7"/>
  <c r="AH5" i="7"/>
  <c r="AH4" i="7"/>
  <c r="AH3" i="7"/>
  <c r="T104" i="22"/>
  <c r="W104" i="22" s="1"/>
  <c r="U104" i="22"/>
  <c r="T105" i="22"/>
  <c r="W105" i="22" s="1"/>
  <c r="U105" i="22"/>
  <c r="T106" i="22"/>
  <c r="W106" i="22" s="1"/>
  <c r="U106" i="22"/>
  <c r="T107" i="22"/>
  <c r="W107" i="22" s="1"/>
  <c r="U107" i="22"/>
  <c r="T108" i="22"/>
  <c r="W108" i="22" s="1"/>
  <c r="U108" i="22"/>
  <c r="T103" i="22"/>
  <c r="T96" i="22"/>
  <c r="W96" i="22" s="1"/>
  <c r="U96" i="22"/>
  <c r="T97" i="22"/>
  <c r="W97" i="22" s="1"/>
  <c r="U97" i="22"/>
  <c r="T98" i="22"/>
  <c r="W98" i="22" s="1"/>
  <c r="U98" i="22"/>
  <c r="T99" i="22"/>
  <c r="W99" i="22" s="1"/>
  <c r="U99" i="22"/>
  <c r="T100" i="22"/>
  <c r="W100" i="22" s="1"/>
  <c r="U100" i="22"/>
  <c r="T95" i="22"/>
  <c r="T88" i="22"/>
  <c r="T89" i="22"/>
  <c r="W89" i="22" s="1"/>
  <c r="U89" i="22"/>
  <c r="T90" i="22"/>
  <c r="W90" i="22" s="1"/>
  <c r="U90" i="22"/>
  <c r="T91" i="22"/>
  <c r="T92" i="22"/>
  <c r="U92" i="22"/>
  <c r="T87" i="22"/>
  <c r="T80" i="22"/>
  <c r="T81" i="22"/>
  <c r="W81" i="22" s="1"/>
  <c r="U81" i="22"/>
  <c r="T82" i="22"/>
  <c r="T83" i="22"/>
  <c r="W83" i="22" s="1"/>
  <c r="U83" i="22"/>
  <c r="T84" i="22"/>
  <c r="U84" i="22"/>
  <c r="T79" i="22"/>
  <c r="T72" i="22"/>
  <c r="T73" i="22"/>
  <c r="T74" i="22"/>
  <c r="T75" i="22"/>
  <c r="W75" i="22" s="1"/>
  <c r="U75" i="22"/>
  <c r="T76" i="22"/>
  <c r="T71" i="22"/>
  <c r="U68" i="22"/>
  <c r="T64" i="22"/>
  <c r="T65" i="22"/>
  <c r="T66" i="22"/>
  <c r="T67" i="22"/>
  <c r="T68" i="22"/>
  <c r="W68" i="22" s="1"/>
  <c r="AF107" i="22" l="1"/>
  <c r="AE108" i="22"/>
  <c r="AE96" i="22"/>
  <c r="AE107" i="22"/>
  <c r="AE97" i="22"/>
  <c r="AF97" i="22"/>
  <c r="AD96" i="22"/>
  <c r="AF83" i="22"/>
  <c r="AE83" i="22"/>
  <c r="AD83" i="22"/>
  <c r="AF75" i="22"/>
  <c r="AD75" i="22"/>
  <c r="AE68" i="22"/>
  <c r="AD68" i="22"/>
  <c r="AE106" i="22"/>
  <c r="AE100" i="22"/>
  <c r="AF108" i="22"/>
  <c r="AD107" i="22"/>
  <c r="AF104" i="22"/>
  <c r="AF98" i="22"/>
  <c r="AD97" i="22"/>
  <c r="AD106" i="22"/>
  <c r="AD100" i="22"/>
  <c r="AE98" i="22"/>
  <c r="AD108" i="22"/>
  <c r="AF105" i="22"/>
  <c r="AD104" i="22"/>
  <c r="AF99" i="22"/>
  <c r="AD98" i="22"/>
  <c r="AE105" i="22"/>
  <c r="AE99" i="22"/>
  <c r="AE104" i="22"/>
  <c r="V82" i="22"/>
  <c r="W91" i="22"/>
  <c r="V91" i="22"/>
  <c r="W82" i="22"/>
  <c r="W67" i="22"/>
  <c r="W92" i="22"/>
  <c r="W84" i="22"/>
  <c r="AF91" i="22" l="1"/>
  <c r="AD91" i="22"/>
  <c r="AE91" i="22"/>
  <c r="AE82" i="22"/>
  <c r="AD82" i="22"/>
  <c r="AF82" i="22"/>
  <c r="C45" i="7" l="1"/>
  <c r="D44" i="7" s="1"/>
  <c r="C39" i="7"/>
  <c r="S9" i="7" s="1"/>
  <c r="C33" i="7"/>
  <c r="S8" i="7" s="1"/>
  <c r="C27" i="7"/>
  <c r="S7" i="7" s="1"/>
  <c r="C21" i="7"/>
  <c r="S6" i="7" s="1"/>
  <c r="C15" i="7"/>
  <c r="S5" i="7" s="1"/>
  <c r="C9" i="7"/>
  <c r="S4" i="7" s="1"/>
  <c r="C3" i="7"/>
  <c r="D2" i="7" s="1"/>
  <c r="S3" i="7" l="1"/>
  <c r="D8" i="7"/>
  <c r="D14" i="7"/>
  <c r="D20" i="7"/>
  <c r="D26" i="7"/>
  <c r="D32" i="7"/>
  <c r="D38" i="7"/>
  <c r="S10" i="7"/>
  <c r="G11" i="9"/>
  <c r="G12" i="9"/>
  <c r="G13" i="9"/>
  <c r="G14" i="9"/>
  <c r="G4" i="9"/>
  <c r="G5" i="9"/>
  <c r="G6" i="9"/>
  <c r="G7" i="9"/>
  <c r="G8" i="9"/>
  <c r="G9" i="9"/>
  <c r="G10" i="9"/>
  <c r="G3" i="9"/>
  <c r="B4" i="22"/>
  <c r="B30" i="22"/>
  <c r="B29" i="22"/>
  <c r="B28" i="22"/>
  <c r="B27" i="22"/>
  <c r="B26" i="22"/>
  <c r="B25" i="22"/>
  <c r="D12" i="22"/>
  <c r="O9" i="22"/>
  <c r="R9" i="22" s="1"/>
  <c r="N9" i="22"/>
  <c r="P9" i="22" s="1"/>
  <c r="Q9" i="22" s="1"/>
  <c r="G9" i="22"/>
  <c r="C58" i="22" s="1"/>
  <c r="O8" i="22"/>
  <c r="R8" i="22" s="1"/>
  <c r="N8" i="22"/>
  <c r="P8" i="22" s="1"/>
  <c r="Q8" i="22" s="1"/>
  <c r="G8" i="22"/>
  <c r="C57" i="22" s="1"/>
  <c r="O7" i="22"/>
  <c r="R7" i="22" s="1"/>
  <c r="N7" i="22"/>
  <c r="P7" i="22" s="1"/>
  <c r="Q7" i="22" s="1"/>
  <c r="G7" i="22"/>
  <c r="C56" i="22" s="1"/>
  <c r="O6" i="22"/>
  <c r="R6" i="22" s="1"/>
  <c r="N6" i="22"/>
  <c r="P6" i="22" s="1"/>
  <c r="Q6" i="22" s="1"/>
  <c r="G6" i="22"/>
  <c r="C55" i="22" s="1"/>
  <c r="O5" i="22"/>
  <c r="R5" i="22" s="1"/>
  <c r="N5" i="22"/>
  <c r="P5" i="22" s="1"/>
  <c r="Q5" i="22" s="1"/>
  <c r="G5" i="22"/>
  <c r="C54" i="22" s="1"/>
  <c r="E5" i="22"/>
  <c r="O4" i="22"/>
  <c r="R4" i="22" s="1"/>
  <c r="N4" i="22"/>
  <c r="P4" i="22" s="1"/>
  <c r="Q4" i="22" s="1"/>
  <c r="G4" i="22"/>
  <c r="C53" i="22" s="1"/>
  <c r="E4" i="22"/>
  <c r="E6" i="22" s="1"/>
  <c r="B34" i="22" l="1" a="1"/>
  <c r="C18" i="22"/>
  <c r="F22" i="22" s="1"/>
  <c r="F34" i="22" s="1"/>
  <c r="AH61" i="22"/>
  <c r="AH62" i="22"/>
  <c r="AK62" i="22"/>
  <c r="AK61" i="22"/>
  <c r="AJ62" i="22"/>
  <c r="AJ61" i="22"/>
  <c r="AI61" i="22"/>
  <c r="AI62" i="22"/>
  <c r="AG61" i="22"/>
  <c r="AG62" i="22"/>
  <c r="AL62" i="22"/>
  <c r="AL61" i="22"/>
  <c r="W74" i="22"/>
  <c r="V74" i="22"/>
  <c r="W76" i="22"/>
  <c r="V76" i="22"/>
  <c r="AF76" i="22" s="1"/>
  <c r="AF89" i="22"/>
  <c r="AD89" i="22"/>
  <c r="AE89" i="22"/>
  <c r="AF90" i="22"/>
  <c r="AE90" i="22"/>
  <c r="AD90" i="22"/>
  <c r="AF81" i="22"/>
  <c r="AD81" i="22"/>
  <c r="AE81" i="22"/>
  <c r="AH81" i="22"/>
  <c r="AH100" i="22"/>
  <c r="AH68" i="22"/>
  <c r="AH75" i="22"/>
  <c r="AH91" i="22"/>
  <c r="AH104" i="22"/>
  <c r="AH82" i="22"/>
  <c r="AH105" i="22"/>
  <c r="AH89" i="22"/>
  <c r="AH96" i="22"/>
  <c r="AH106" i="22"/>
  <c r="AH97" i="22"/>
  <c r="AH107" i="22"/>
  <c r="AH83" i="22"/>
  <c r="AH98" i="22"/>
  <c r="AH108" i="22"/>
  <c r="AH90" i="22"/>
  <c r="AH99" i="22"/>
  <c r="AK83" i="22"/>
  <c r="AK90" i="22"/>
  <c r="AK81" i="22"/>
  <c r="AK68" i="22"/>
  <c r="AK75" i="22"/>
  <c r="AK91" i="22"/>
  <c r="AK82" i="22"/>
  <c r="AK89" i="22"/>
  <c r="AK98" i="22"/>
  <c r="AK108" i="22"/>
  <c r="AK97" i="22"/>
  <c r="AK106" i="22"/>
  <c r="AK107" i="22"/>
  <c r="AK105" i="22"/>
  <c r="AK100" i="22"/>
  <c r="AK104" i="22"/>
  <c r="AK99" i="22"/>
  <c r="AK96" i="22"/>
  <c r="AI90" i="22"/>
  <c r="AI99" i="22"/>
  <c r="AI81" i="22"/>
  <c r="AI100" i="22"/>
  <c r="AI68" i="22"/>
  <c r="AI75" i="22"/>
  <c r="AI91" i="22"/>
  <c r="AI104" i="22"/>
  <c r="AI82" i="22"/>
  <c r="AI105" i="22"/>
  <c r="AI89" i="22"/>
  <c r="AI96" i="22"/>
  <c r="AI106" i="22"/>
  <c r="AI97" i="22"/>
  <c r="AI107" i="22"/>
  <c r="AI83" i="22"/>
  <c r="AI98" i="22"/>
  <c r="AI108" i="22"/>
  <c r="AG68" i="22"/>
  <c r="AG75" i="22"/>
  <c r="AG91" i="22"/>
  <c r="AG104" i="22"/>
  <c r="AG82" i="22"/>
  <c r="AG105" i="22"/>
  <c r="AG89" i="22"/>
  <c r="AG96" i="22"/>
  <c r="AG106" i="22"/>
  <c r="AG97" i="22"/>
  <c r="AG107" i="22"/>
  <c r="AG83" i="22"/>
  <c r="AG98" i="22"/>
  <c r="AG108" i="22"/>
  <c r="AG90" i="22"/>
  <c r="AG99" i="22"/>
  <c r="AG81" i="22"/>
  <c r="AG100" i="22"/>
  <c r="AJ83" i="22"/>
  <c r="AJ90" i="22"/>
  <c r="AJ81" i="22"/>
  <c r="AJ68" i="22"/>
  <c r="AJ75" i="22"/>
  <c r="AJ91" i="22"/>
  <c r="AJ82" i="22"/>
  <c r="AJ89" i="22"/>
  <c r="AJ99" i="22"/>
  <c r="AJ98" i="22"/>
  <c r="AJ107" i="22"/>
  <c r="AJ108" i="22"/>
  <c r="AJ105" i="22"/>
  <c r="AJ97" i="22"/>
  <c r="AJ104" i="22"/>
  <c r="AJ106" i="22"/>
  <c r="AJ100" i="22"/>
  <c r="AJ96" i="22"/>
  <c r="AL89" i="22"/>
  <c r="AL83" i="22"/>
  <c r="AL90" i="22"/>
  <c r="AL81" i="22"/>
  <c r="AL68" i="22"/>
  <c r="AL75" i="22"/>
  <c r="AL91" i="22"/>
  <c r="AL82" i="22"/>
  <c r="AL100" i="22"/>
  <c r="AL99" i="22"/>
  <c r="AL106" i="22"/>
  <c r="AL97" i="22"/>
  <c r="AL98" i="22"/>
  <c r="AL104" i="22"/>
  <c r="AL107" i="22"/>
  <c r="AL105" i="22"/>
  <c r="AL108" i="22"/>
  <c r="AL96" i="22"/>
  <c r="E54" i="22"/>
  <c r="T54" i="22" s="1"/>
  <c r="C12" i="22"/>
  <c r="D16" i="22" s="1"/>
  <c r="E53" i="22"/>
  <c r="T53" i="22" s="1"/>
  <c r="D53" i="22"/>
  <c r="F53" i="22" s="1"/>
  <c r="N53" i="22" s="1"/>
  <c r="E55" i="22"/>
  <c r="T55" i="22" s="1"/>
  <c r="D55" i="22"/>
  <c r="F55" i="22" s="1"/>
  <c r="N55" i="22" s="1"/>
  <c r="E57" i="22"/>
  <c r="T57" i="22" s="1"/>
  <c r="D57" i="22"/>
  <c r="F57" i="22" s="1"/>
  <c r="N57" i="22" s="1"/>
  <c r="E56" i="22"/>
  <c r="T56" i="22" s="1"/>
  <c r="D56" i="22"/>
  <c r="F56" i="22" s="1"/>
  <c r="N56" i="22" s="1"/>
  <c r="E58" i="22"/>
  <c r="T58" i="22" s="1"/>
  <c r="D58" i="22"/>
  <c r="F58" i="22" s="1"/>
  <c r="N58" i="22" s="1"/>
  <c r="D54" i="22"/>
  <c r="F54" i="22" s="1"/>
  <c r="N54" i="22" s="1"/>
  <c r="E22" i="22" l="1"/>
  <c r="E34" i="22" s="1"/>
  <c r="G22" i="22"/>
  <c r="G34" i="22" s="1"/>
  <c r="J22" i="22"/>
  <c r="J34" i="22" s="1"/>
  <c r="D22" i="22"/>
  <c r="D34" i="22" s="1"/>
  <c r="I22" i="22"/>
  <c r="I34" i="22" s="1"/>
  <c r="H22" i="22"/>
  <c r="H34" i="22" s="1"/>
  <c r="AJ74" i="22"/>
  <c r="AG74" i="22"/>
  <c r="AH74" i="22"/>
  <c r="AI74" i="22"/>
  <c r="AH76" i="22"/>
  <c r="AL74" i="22"/>
  <c r="AK76" i="22"/>
  <c r="AD74" i="22"/>
  <c r="AL76" i="22"/>
  <c r="AG76" i="22"/>
  <c r="AK74" i="22"/>
  <c r="AJ76" i="22"/>
  <c r="AI76" i="22"/>
  <c r="AE74" i="22"/>
  <c r="AE76" i="22"/>
  <c r="AD76" i="22"/>
  <c r="AF74" i="22"/>
  <c r="D25" i="22"/>
  <c r="I30" i="22"/>
  <c r="I28" i="22"/>
  <c r="H27" i="22"/>
  <c r="E28" i="22"/>
  <c r="D28" i="22"/>
  <c r="D30" i="22"/>
  <c r="H30" i="22"/>
  <c r="I27" i="22"/>
  <c r="H26" i="22"/>
  <c r="E27" i="22"/>
  <c r="D27" i="22"/>
  <c r="F26" i="22"/>
  <c r="H29" i="22"/>
  <c r="J26" i="22"/>
  <c r="G30" i="22"/>
  <c r="I26" i="22"/>
  <c r="G28" i="22"/>
  <c r="E26" i="22"/>
  <c r="D26" i="22"/>
  <c r="E30" i="22"/>
  <c r="F30" i="22"/>
  <c r="G29" i="22"/>
  <c r="G27" i="22"/>
  <c r="J29" i="22"/>
  <c r="F29" i="22"/>
  <c r="J30" i="22"/>
  <c r="F28" i="22"/>
  <c r="G26" i="22"/>
  <c r="J28" i="22"/>
  <c r="F27" i="22"/>
  <c r="J27" i="22"/>
  <c r="D29" i="22"/>
  <c r="E29" i="22"/>
  <c r="H28" i="22"/>
  <c r="I29" i="22"/>
  <c r="G54" i="22"/>
  <c r="F25" i="22"/>
  <c r="G25" i="22"/>
  <c r="H25" i="22"/>
  <c r="I25" i="22"/>
  <c r="E25" i="22"/>
  <c r="J25" i="22"/>
  <c r="G55" i="22"/>
  <c r="G58" i="22"/>
  <c r="G53" i="22"/>
  <c r="G56" i="22"/>
  <c r="G57" i="22"/>
  <c r="D31" i="22" l="1"/>
  <c r="G114" i="22" s="1"/>
  <c r="I31" i="22"/>
  <c r="L114" i="22" s="1"/>
  <c r="E31" i="22"/>
  <c r="H114" i="22" s="1"/>
  <c r="J31" i="22"/>
  <c r="M114" i="22" s="1"/>
  <c r="H31" i="22"/>
  <c r="K114" i="22" s="1"/>
  <c r="K115" i="22" s="1"/>
  <c r="F31" i="22"/>
  <c r="I114" i="22" s="1"/>
  <c r="G31" i="22"/>
  <c r="J114" i="22" s="1"/>
  <c r="M115" i="22" l="1"/>
  <c r="I115" i="22"/>
  <c r="J115" i="22"/>
  <c r="H115" i="22"/>
  <c r="L115" i="22"/>
  <c r="G115" i="22" l="1"/>
  <c r="AK4" i="2" l="1"/>
  <c r="AK5" i="2"/>
  <c r="AK6" i="2"/>
  <c r="AK7" i="2"/>
  <c r="AK8" i="2"/>
  <c r="AK9" i="2"/>
  <c r="AK10" i="2"/>
  <c r="AK11" i="2"/>
  <c r="AK12" i="2"/>
  <c r="AK13" i="2"/>
  <c r="AK14" i="2"/>
  <c r="AK15" i="2"/>
  <c r="AK16" i="2"/>
  <c r="AK17" i="2"/>
  <c r="AK18" i="2"/>
  <c r="AK19" i="2"/>
  <c r="AK20" i="2"/>
  <c r="AK21" i="2"/>
  <c r="AK22" i="2"/>
  <c r="AK23" i="2"/>
  <c r="AK24" i="2"/>
  <c r="AK25" i="2"/>
  <c r="AK26" i="2"/>
  <c r="AK27" i="2"/>
  <c r="AK28" i="2"/>
  <c r="AK3" i="2"/>
  <c r="E11" i="2" l="1"/>
  <c r="F11" i="2"/>
  <c r="AB10" i="7"/>
  <c r="T10" i="7" l="1"/>
  <c r="B49" i="7"/>
  <c r="R10" i="7" s="1"/>
  <c r="A49" i="7"/>
  <c r="K48" i="7"/>
  <c r="AA10" i="7" s="1"/>
  <c r="J48" i="7"/>
  <c r="Z10" i="7" s="1"/>
  <c r="I48" i="7"/>
  <c r="Y10" i="7" s="1"/>
  <c r="H48" i="7"/>
  <c r="X10" i="7" s="1"/>
  <c r="G48" i="7"/>
  <c r="W10" i="7" s="1"/>
  <c r="F48" i="7"/>
  <c r="V10" i="7" s="1"/>
  <c r="E48" i="7"/>
  <c r="U10" i="7" s="1"/>
  <c r="O47" i="7"/>
  <c r="N47" i="7"/>
  <c r="M47" i="7"/>
  <c r="L47" i="7"/>
  <c r="K47" i="7"/>
  <c r="J47" i="7"/>
  <c r="I47" i="7"/>
  <c r="H47" i="7"/>
  <c r="G47" i="7"/>
  <c r="F47" i="7"/>
  <c r="E47" i="7"/>
  <c r="K45" i="7"/>
  <c r="J45" i="7"/>
  <c r="I45" i="7"/>
  <c r="H45" i="7"/>
  <c r="G45" i="7"/>
  <c r="F45" i="7"/>
  <c r="E45" i="7"/>
  <c r="AB9" i="7"/>
  <c r="J36" i="7"/>
  <c r="J42" i="7"/>
  <c r="Z9" i="7" s="1"/>
  <c r="B43" i="7"/>
  <c r="R9" i="7" s="1"/>
  <c r="A43" i="7"/>
  <c r="K42" i="7"/>
  <c r="AA9" i="7" s="1"/>
  <c r="I42" i="7"/>
  <c r="Y9" i="7" s="1"/>
  <c r="H42" i="7"/>
  <c r="X9" i="7" s="1"/>
  <c r="G42" i="7"/>
  <c r="W9" i="7" s="1"/>
  <c r="F42" i="7"/>
  <c r="V9" i="7" s="1"/>
  <c r="E42" i="7"/>
  <c r="U9" i="7" s="1"/>
  <c r="O41" i="7"/>
  <c r="N41" i="7"/>
  <c r="M41" i="7"/>
  <c r="L41" i="7"/>
  <c r="K41" i="7"/>
  <c r="J41" i="7"/>
  <c r="I41" i="7"/>
  <c r="H41" i="7"/>
  <c r="G41" i="7"/>
  <c r="F41" i="7"/>
  <c r="E41" i="7"/>
  <c r="K39" i="7"/>
  <c r="J39" i="7"/>
  <c r="I39" i="7"/>
  <c r="H39" i="7"/>
  <c r="G39" i="7"/>
  <c r="F39" i="7"/>
  <c r="E39" i="7"/>
  <c r="AC9" i="7" l="1"/>
  <c r="A42" i="7"/>
  <c r="AC10" i="7"/>
  <c r="A48" i="7"/>
  <c r="T9" i="7"/>
  <c r="O35" i="7" l="1"/>
  <c r="N35" i="7"/>
  <c r="M35" i="7"/>
  <c r="L35" i="7"/>
  <c r="O29" i="7"/>
  <c r="N29" i="7"/>
  <c r="M29" i="7"/>
  <c r="L29" i="7"/>
  <c r="O23" i="7"/>
  <c r="N23" i="7"/>
  <c r="M23" i="7"/>
  <c r="L23" i="7"/>
  <c r="O17" i="7"/>
  <c r="O11" i="7"/>
  <c r="N11" i="7"/>
  <c r="M11" i="7"/>
  <c r="L11" i="7"/>
  <c r="O5" i="7"/>
  <c r="N5" i="7"/>
  <c r="M5" i="7"/>
  <c r="L5" i="7"/>
  <c r="K36" i="7"/>
  <c r="K35" i="7"/>
  <c r="K33" i="7"/>
  <c r="K30" i="7"/>
  <c r="K29" i="7"/>
  <c r="K27" i="7"/>
  <c r="K24" i="7"/>
  <c r="K23" i="7"/>
  <c r="K21" i="7"/>
  <c r="K18" i="7"/>
  <c r="AA5" i="7" s="1"/>
  <c r="K17" i="7"/>
  <c r="K15" i="7"/>
  <c r="K12" i="7"/>
  <c r="K11" i="7"/>
  <c r="K9" i="7"/>
  <c r="K5" i="7"/>
  <c r="K6" i="7" s="1"/>
  <c r="K3" i="7"/>
  <c r="J35" i="7"/>
  <c r="J33" i="7"/>
  <c r="J30" i="7"/>
  <c r="J29" i="7"/>
  <c r="J27" i="7"/>
  <c r="J24" i="7"/>
  <c r="J23" i="7"/>
  <c r="J21" i="7"/>
  <c r="J18" i="7"/>
  <c r="J17" i="7"/>
  <c r="J15" i="7"/>
  <c r="J12" i="7"/>
  <c r="J11" i="7"/>
  <c r="J9" i="7"/>
  <c r="J6" i="7"/>
  <c r="J5" i="7"/>
  <c r="J3" i="7"/>
  <c r="I36" i="7"/>
  <c r="I35" i="7"/>
  <c r="I33" i="7"/>
  <c r="I30" i="7"/>
  <c r="I29" i="7"/>
  <c r="I27" i="7"/>
  <c r="I24" i="7"/>
  <c r="I23" i="7"/>
  <c r="I21" i="7"/>
  <c r="I18" i="7"/>
  <c r="I17" i="7"/>
  <c r="I15" i="7"/>
  <c r="I12" i="7"/>
  <c r="I11" i="7"/>
  <c r="I9" i="7"/>
  <c r="I6" i="7"/>
  <c r="I5" i="7"/>
  <c r="I3" i="7"/>
  <c r="H36" i="7"/>
  <c r="H35" i="7"/>
  <c r="H33" i="7"/>
  <c r="H30" i="7"/>
  <c r="H29" i="7"/>
  <c r="H27" i="7"/>
  <c r="H24" i="7"/>
  <c r="H23" i="7"/>
  <c r="H21" i="7"/>
  <c r="H18" i="7"/>
  <c r="H17" i="7"/>
  <c r="H15" i="7"/>
  <c r="H12" i="7"/>
  <c r="H11" i="7"/>
  <c r="H9" i="7"/>
  <c r="H6" i="7"/>
  <c r="H5" i="7"/>
  <c r="H3" i="7"/>
  <c r="G36" i="7"/>
  <c r="G35" i="7"/>
  <c r="G33" i="7"/>
  <c r="G30" i="7"/>
  <c r="G29" i="7"/>
  <c r="G27" i="7"/>
  <c r="G24" i="7"/>
  <c r="G23" i="7"/>
  <c r="G21" i="7"/>
  <c r="G18" i="7"/>
  <c r="G17" i="7"/>
  <c r="G15" i="7"/>
  <c r="G12" i="7"/>
  <c r="G11" i="7"/>
  <c r="G9" i="7"/>
  <c r="G6" i="7"/>
  <c r="G5" i="7"/>
  <c r="G3" i="7"/>
  <c r="F36" i="7"/>
  <c r="F35" i="7"/>
  <c r="F33" i="7"/>
  <c r="F30" i="7"/>
  <c r="F29" i="7"/>
  <c r="F27" i="7"/>
  <c r="F24" i="7"/>
  <c r="F23" i="7"/>
  <c r="F21" i="7"/>
  <c r="F18" i="7"/>
  <c r="F17" i="7"/>
  <c r="F15" i="7"/>
  <c r="F12" i="7"/>
  <c r="F11" i="7"/>
  <c r="F9" i="7"/>
  <c r="F6" i="7"/>
  <c r="F5" i="7"/>
  <c r="F3" i="7"/>
  <c r="E36" i="7"/>
  <c r="E35" i="7"/>
  <c r="E33" i="7"/>
  <c r="E30" i="7"/>
  <c r="E29" i="7"/>
  <c r="E27" i="7"/>
  <c r="E24" i="7"/>
  <c r="E23" i="7"/>
  <c r="E18" i="7"/>
  <c r="E17" i="7"/>
  <c r="E15" i="7"/>
  <c r="E12" i="7"/>
  <c r="E11" i="7"/>
  <c r="E9" i="7"/>
  <c r="E6" i="7"/>
  <c r="U3" i="7" s="1"/>
  <c r="E5" i="7"/>
  <c r="E3" i="7"/>
  <c r="A37" i="7"/>
  <c r="A31" i="7"/>
  <c r="E21" i="7"/>
  <c r="A25" i="7"/>
  <c r="A19" i="7"/>
  <c r="A13" i="7"/>
  <c r="A7" i="7"/>
  <c r="AI153" i="3"/>
  <c r="AH153" i="3"/>
  <c r="AG153" i="3"/>
  <c r="AI149" i="3"/>
  <c r="AH149" i="3"/>
  <c r="AG149" i="3"/>
  <c r="AI93" i="3"/>
  <c r="AH93" i="3"/>
  <c r="AG93" i="3"/>
  <c r="AI115" i="3"/>
  <c r="N17" i="7" s="1"/>
  <c r="AH115" i="3"/>
  <c r="M17" i="7" s="1"/>
  <c r="AG115" i="3"/>
  <c r="L17" i="7" s="1"/>
  <c r="AC3" i="7" l="1"/>
  <c r="A6" i="7"/>
  <c r="AC4" i="7"/>
  <c r="A12" i="7"/>
  <c r="AC5" i="7"/>
  <c r="A18" i="7"/>
  <c r="AC6" i="7"/>
  <c r="A24" i="7"/>
  <c r="AC7" i="7"/>
  <c r="A30" i="7"/>
  <c r="AC8" i="7"/>
  <c r="A36" i="7"/>
  <c r="M48" i="7"/>
  <c r="AE10" i="7" s="1"/>
  <c r="L48" i="7"/>
  <c r="AD10" i="7" s="1"/>
  <c r="N48" i="7"/>
  <c r="AF10" i="7" s="1"/>
  <c r="O48" i="7"/>
  <c r="AG10" i="7" s="1"/>
  <c r="M42" i="7"/>
  <c r="AE9" i="7" s="1"/>
  <c r="N42" i="7"/>
  <c r="AF9" i="7" s="1"/>
  <c r="L42" i="7"/>
  <c r="AD9" i="7" s="1"/>
  <c r="O42" i="7"/>
  <c r="AG9" i="7" s="1"/>
  <c r="L6" i="7"/>
  <c r="AD3" i="7" s="1"/>
  <c r="M6" i="7"/>
  <c r="AE3" i="7" s="1"/>
  <c r="O6" i="7"/>
  <c r="AG3" i="7" s="1"/>
  <c r="N6" i="7"/>
  <c r="AF3" i="7" s="1"/>
  <c r="B37" i="7" l="1"/>
  <c r="R8" i="7" s="1"/>
  <c r="B31" i="7"/>
  <c r="R7" i="7" s="1"/>
  <c r="B25" i="7"/>
  <c r="R6" i="7" s="1"/>
  <c r="B19" i="7"/>
  <c r="R5" i="7" s="1"/>
  <c r="B13" i="7"/>
  <c r="R4" i="7" s="1"/>
  <c r="B7" i="7"/>
  <c r="R3" i="7" s="1"/>
  <c r="AB8" i="7"/>
  <c r="AB7" i="7"/>
  <c r="T7" i="7" s="1"/>
  <c r="AB6" i="7"/>
  <c r="AB5" i="7"/>
  <c r="AB4" i="7"/>
  <c r="AB3" i="7"/>
  <c r="C49" i="50" l="1"/>
  <c r="C49" i="48"/>
  <c r="C49" i="22"/>
  <c r="C49" i="49"/>
  <c r="C49" i="51"/>
  <c r="C48" i="22"/>
  <c r="C48" i="51"/>
  <c r="C48" i="50"/>
  <c r="C48" i="49"/>
  <c r="C48" i="48"/>
  <c r="C47" i="48"/>
  <c r="C47" i="22"/>
  <c r="C47" i="51"/>
  <c r="C47" i="49"/>
  <c r="C47" i="50"/>
  <c r="C46" i="48"/>
  <c r="C46" i="22"/>
  <c r="C46" i="51"/>
  <c r="C46" i="50"/>
  <c r="C46" i="49"/>
  <c r="E88" i="51"/>
  <c r="E84" i="51"/>
  <c r="E83" i="51"/>
  <c r="E82" i="51"/>
  <c r="E74" i="51"/>
  <c r="E72" i="51"/>
  <c r="E67" i="51"/>
  <c r="E96" i="50"/>
  <c r="E95" i="50"/>
  <c r="E108" i="50"/>
  <c r="E107" i="50"/>
  <c r="E106" i="50"/>
  <c r="E105" i="50"/>
  <c r="E104" i="50"/>
  <c r="E103" i="50"/>
  <c r="E100" i="50"/>
  <c r="E99" i="50"/>
  <c r="E98" i="50"/>
  <c r="E97" i="50"/>
  <c r="E90" i="50"/>
  <c r="E74" i="50"/>
  <c r="E73" i="50"/>
  <c r="E88" i="50"/>
  <c r="E87" i="50"/>
  <c r="E84" i="50"/>
  <c r="E83" i="50"/>
  <c r="E82" i="50"/>
  <c r="E81" i="50"/>
  <c r="E80" i="50"/>
  <c r="E79" i="50"/>
  <c r="E76" i="50"/>
  <c r="E75" i="50"/>
  <c r="E72" i="50"/>
  <c r="E108" i="49"/>
  <c r="E107" i="49"/>
  <c r="E106" i="49"/>
  <c r="E105" i="49"/>
  <c r="E104" i="49"/>
  <c r="E103" i="49"/>
  <c r="E100" i="49"/>
  <c r="E99" i="49"/>
  <c r="E98" i="49"/>
  <c r="E97" i="49"/>
  <c r="E96" i="49"/>
  <c r="E95" i="49"/>
  <c r="E92" i="49"/>
  <c r="E91" i="49"/>
  <c r="E90" i="49"/>
  <c r="E89" i="49"/>
  <c r="E88" i="49"/>
  <c r="E87" i="49"/>
  <c r="E84" i="49"/>
  <c r="E83" i="49"/>
  <c r="E82" i="49"/>
  <c r="E81" i="49"/>
  <c r="E80" i="49"/>
  <c r="E79" i="49"/>
  <c r="E76" i="49"/>
  <c r="E104" i="48"/>
  <c r="E99" i="48"/>
  <c r="E98" i="48"/>
  <c r="E75" i="49"/>
  <c r="E74" i="49"/>
  <c r="E73" i="49"/>
  <c r="E72" i="49"/>
  <c r="E71" i="49"/>
  <c r="E68" i="49"/>
  <c r="E67" i="49"/>
  <c r="E66" i="49"/>
  <c r="E65" i="49"/>
  <c r="E64" i="49"/>
  <c r="E63" i="49"/>
  <c r="C45" i="49"/>
  <c r="E108" i="48"/>
  <c r="E107" i="48"/>
  <c r="E106" i="48"/>
  <c r="E105" i="48"/>
  <c r="E103" i="48"/>
  <c r="E100" i="48"/>
  <c r="E97" i="48"/>
  <c r="E96" i="48"/>
  <c r="E95" i="48"/>
  <c r="E92" i="48"/>
  <c r="E91" i="48"/>
  <c r="E90" i="48"/>
  <c r="E89" i="48"/>
  <c r="E88" i="48"/>
  <c r="E87" i="48"/>
  <c r="E84" i="48"/>
  <c r="E83" i="48"/>
  <c r="E82" i="48"/>
  <c r="E81" i="48"/>
  <c r="E80" i="48"/>
  <c r="E79" i="48"/>
  <c r="E76" i="48"/>
  <c r="E75" i="48"/>
  <c r="E74" i="48"/>
  <c r="E73" i="48"/>
  <c r="E72" i="48"/>
  <c r="E71" i="48"/>
  <c r="E68" i="48"/>
  <c r="E67" i="48"/>
  <c r="E66" i="48"/>
  <c r="E65" i="48"/>
  <c r="E64" i="48"/>
  <c r="E63" i="48"/>
  <c r="C45" i="48"/>
  <c r="C45" i="22"/>
  <c r="E71" i="50"/>
  <c r="E63" i="50"/>
  <c r="E97" i="51"/>
  <c r="E92" i="51"/>
  <c r="E91" i="51"/>
  <c r="E90" i="51"/>
  <c r="E80" i="51"/>
  <c r="E76" i="51"/>
  <c r="E73" i="51"/>
  <c r="E66" i="51"/>
  <c r="E65" i="51"/>
  <c r="C45" i="51"/>
  <c r="E92" i="50"/>
  <c r="E89" i="50"/>
  <c r="E68" i="50"/>
  <c r="E66" i="50"/>
  <c r="E65" i="50"/>
  <c r="E108" i="51"/>
  <c r="E107" i="51"/>
  <c r="E106" i="51"/>
  <c r="E105" i="51"/>
  <c r="E104" i="51"/>
  <c r="E103" i="51"/>
  <c r="E100" i="51"/>
  <c r="E99" i="51"/>
  <c r="E98" i="51"/>
  <c r="E96" i="51"/>
  <c r="E95" i="51"/>
  <c r="E89" i="51"/>
  <c r="E87" i="51"/>
  <c r="E81" i="51"/>
  <c r="E79" i="51"/>
  <c r="E75" i="51"/>
  <c r="E71" i="51"/>
  <c r="E68" i="51"/>
  <c r="E64" i="51"/>
  <c r="E63" i="51"/>
  <c r="E67" i="50"/>
  <c r="E91" i="50"/>
  <c r="E64" i="50"/>
  <c r="C45" i="50"/>
  <c r="J52" i="51"/>
  <c r="O52" i="51"/>
  <c r="T52" i="51"/>
  <c r="L52" i="51"/>
  <c r="F52" i="51"/>
  <c r="Q51" i="51"/>
  <c r="K51" i="51"/>
  <c r="G51" i="51"/>
  <c r="P51" i="51"/>
  <c r="H51" i="51"/>
  <c r="J51" i="51"/>
  <c r="L51" i="51"/>
  <c r="D51" i="51"/>
  <c r="N51" i="51"/>
  <c r="I51" i="51"/>
  <c r="M51" i="51"/>
  <c r="E51" i="51"/>
  <c r="T51" i="51"/>
  <c r="O51" i="51"/>
  <c r="F51" i="51"/>
  <c r="Q50" i="51"/>
  <c r="L50" i="51"/>
  <c r="M50" i="51"/>
  <c r="E50" i="51"/>
  <c r="K50" i="51"/>
  <c r="T50" i="51"/>
  <c r="N50" i="51"/>
  <c r="F50" i="51"/>
  <c r="G50" i="51"/>
  <c r="P50" i="51"/>
  <c r="O50" i="51"/>
  <c r="I50" i="51"/>
  <c r="D50" i="51"/>
  <c r="J50" i="51"/>
  <c r="H50" i="51"/>
  <c r="O49" i="51"/>
  <c r="L49" i="51"/>
  <c r="H49" i="51"/>
  <c r="I49" i="51"/>
  <c r="Q49" i="51"/>
  <c r="M49" i="51"/>
  <c r="J49" i="51"/>
  <c r="P49" i="51"/>
  <c r="D49" i="51"/>
  <c r="F49" i="51"/>
  <c r="E49" i="51"/>
  <c r="K49" i="51"/>
  <c r="N49" i="51"/>
  <c r="T49" i="51"/>
  <c r="G49" i="51"/>
  <c r="T48" i="51"/>
  <c r="M48" i="51"/>
  <c r="O48" i="51"/>
  <c r="F48" i="51"/>
  <c r="D48" i="51"/>
  <c r="L48" i="51"/>
  <c r="E48" i="51"/>
  <c r="P48" i="51"/>
  <c r="J48" i="51"/>
  <c r="G48" i="51"/>
  <c r="N48" i="51"/>
  <c r="I48" i="51"/>
  <c r="H48" i="51"/>
  <c r="Q48" i="51"/>
  <c r="K48" i="51"/>
  <c r="Q52" i="49"/>
  <c r="M52" i="49"/>
  <c r="J52" i="49"/>
  <c r="H52" i="49"/>
  <c r="F51" i="49"/>
  <c r="J51" i="49"/>
  <c r="O51" i="49"/>
  <c r="G50" i="49"/>
  <c r="J50" i="49"/>
  <c r="E50" i="49"/>
  <c r="D50" i="49"/>
  <c r="O52" i="49"/>
  <c r="L52" i="49"/>
  <c r="I52" i="49"/>
  <c r="H51" i="49"/>
  <c r="L51" i="49"/>
  <c r="Q51" i="49"/>
  <c r="O50" i="49"/>
  <c r="H50" i="49"/>
  <c r="T52" i="49"/>
  <c r="K52" i="49"/>
  <c r="G52" i="49"/>
  <c r="D51" i="49"/>
  <c r="I51" i="49"/>
  <c r="N51" i="49"/>
  <c r="K50" i="49"/>
  <c r="F50" i="49"/>
  <c r="J47" i="48"/>
  <c r="M52" i="50"/>
  <c r="Q52" i="50"/>
  <c r="T52" i="50"/>
  <c r="I52" i="50"/>
  <c r="D52" i="50"/>
  <c r="E52" i="50"/>
  <c r="F52" i="50"/>
  <c r="G52" i="50"/>
  <c r="H52" i="50"/>
  <c r="J52" i="50"/>
  <c r="K52" i="50"/>
  <c r="L52" i="50"/>
  <c r="N52" i="50"/>
  <c r="O52" i="50"/>
  <c r="P52" i="50"/>
  <c r="M51" i="50"/>
  <c r="L51" i="50"/>
  <c r="K51" i="50"/>
  <c r="P51" i="50"/>
  <c r="Q51" i="50"/>
  <c r="T51" i="50"/>
  <c r="J51" i="50"/>
  <c r="I51" i="50"/>
  <c r="H51" i="50"/>
  <c r="G51" i="50"/>
  <c r="F51" i="50"/>
  <c r="E51" i="50"/>
  <c r="D51" i="50"/>
  <c r="O51" i="50"/>
  <c r="N51" i="50"/>
  <c r="P50" i="50"/>
  <c r="N50" i="50"/>
  <c r="M50" i="50"/>
  <c r="L50" i="50"/>
  <c r="K50" i="50"/>
  <c r="J50" i="50"/>
  <c r="I50" i="50"/>
  <c r="H50" i="50"/>
  <c r="G50" i="50"/>
  <c r="F50" i="50"/>
  <c r="E50" i="50"/>
  <c r="D50" i="50"/>
  <c r="O50" i="50"/>
  <c r="T50" i="50"/>
  <c r="Q50" i="50"/>
  <c r="K48" i="50"/>
  <c r="L48" i="50"/>
  <c r="F48" i="50"/>
  <c r="M48" i="50"/>
  <c r="N48" i="50"/>
  <c r="O48" i="50"/>
  <c r="G48" i="50"/>
  <c r="Q48" i="50"/>
  <c r="H48" i="50"/>
  <c r="P48" i="50"/>
  <c r="J48" i="50"/>
  <c r="T48" i="50"/>
  <c r="E48" i="50"/>
  <c r="D48" i="50"/>
  <c r="I48" i="50"/>
  <c r="T47" i="50"/>
  <c r="Q47" i="50"/>
  <c r="P47" i="50"/>
  <c r="P52" i="49"/>
  <c r="N52" i="49"/>
  <c r="D52" i="49"/>
  <c r="F52" i="49"/>
  <c r="E51" i="49"/>
  <c r="K51" i="49"/>
  <c r="P51" i="49"/>
  <c r="L50" i="49"/>
  <c r="P50" i="49"/>
  <c r="T50" i="49"/>
  <c r="E52" i="49"/>
  <c r="G51" i="49"/>
  <c r="M51" i="49"/>
  <c r="T51" i="49"/>
  <c r="I50" i="49"/>
  <c r="Q50" i="49"/>
  <c r="N50" i="49"/>
  <c r="M50" i="49"/>
  <c r="G49" i="49"/>
  <c r="I49" i="49"/>
  <c r="F49" i="49"/>
  <c r="E49" i="49"/>
  <c r="D49" i="49"/>
  <c r="T49" i="49"/>
  <c r="Q49" i="49"/>
  <c r="P49" i="49"/>
  <c r="O49" i="49"/>
  <c r="N49" i="49"/>
  <c r="M49" i="49"/>
  <c r="L49" i="49"/>
  <c r="K49" i="49"/>
  <c r="J49" i="49"/>
  <c r="H49" i="49"/>
  <c r="E48" i="49"/>
  <c r="T48" i="49"/>
  <c r="Q48" i="49"/>
  <c r="P48" i="49"/>
  <c r="O48" i="49"/>
  <c r="N48" i="49"/>
  <c r="M48" i="49"/>
  <c r="L48" i="49"/>
  <c r="K48" i="49"/>
  <c r="J48" i="49"/>
  <c r="I48" i="49"/>
  <c r="H48" i="49"/>
  <c r="G48" i="49"/>
  <c r="F48" i="49"/>
  <c r="D48" i="49"/>
  <c r="K50" i="48"/>
  <c r="K49" i="48"/>
  <c r="T49" i="48"/>
  <c r="D49" i="48"/>
  <c r="F49" i="48"/>
  <c r="Q49" i="48"/>
  <c r="O48" i="48"/>
  <c r="Q48" i="48"/>
  <c r="N48" i="48"/>
  <c r="J48" i="48"/>
  <c r="N47" i="48"/>
  <c r="I47" i="48"/>
  <c r="F50" i="48"/>
  <c r="M50" i="48"/>
  <c r="M49" i="48"/>
  <c r="G49" i="48"/>
  <c r="I49" i="48"/>
  <c r="L49" i="48"/>
  <c r="N49" i="48"/>
  <c r="P49" i="48"/>
  <c r="P48" i="48"/>
  <c r="M48" i="48"/>
  <c r="F47" i="48"/>
  <c r="P47" i="48"/>
  <c r="T47" i="48"/>
  <c r="M47" i="48"/>
  <c r="E47" i="48"/>
  <c r="L47" i="48"/>
  <c r="M52" i="48"/>
  <c r="N52" i="48"/>
  <c r="P52" i="48"/>
  <c r="Q52" i="48"/>
  <c r="O52" i="48"/>
  <c r="H52" i="48"/>
  <c r="T52" i="48"/>
  <c r="D52" i="48"/>
  <c r="I52" i="48"/>
  <c r="F52" i="48"/>
  <c r="E52" i="48"/>
  <c r="K52" i="48"/>
  <c r="L52" i="48"/>
  <c r="J52" i="48"/>
  <c r="G52" i="48"/>
  <c r="T51" i="48"/>
  <c r="D51" i="48"/>
  <c r="E51" i="48"/>
  <c r="F51" i="48"/>
  <c r="G51" i="48"/>
  <c r="H51" i="48"/>
  <c r="I51" i="48"/>
  <c r="J51" i="48"/>
  <c r="K51" i="48"/>
  <c r="L51" i="48"/>
  <c r="M51" i="48"/>
  <c r="N51" i="48"/>
  <c r="O51" i="48"/>
  <c r="P51" i="48"/>
  <c r="Q51" i="48"/>
  <c r="O50" i="48"/>
  <c r="P50" i="48"/>
  <c r="Q50" i="48"/>
  <c r="T50" i="48"/>
  <c r="D50" i="48"/>
  <c r="E50" i="48"/>
  <c r="G50" i="48"/>
  <c r="H50" i="48"/>
  <c r="I50" i="48"/>
  <c r="J50" i="48"/>
  <c r="L50" i="48"/>
  <c r="N50" i="48"/>
  <c r="K47" i="48"/>
  <c r="H47" i="48"/>
  <c r="G47" i="48"/>
  <c r="D47" i="48"/>
  <c r="N52" i="51"/>
  <c r="I52" i="51"/>
  <c r="G52" i="51"/>
  <c r="E52" i="51"/>
  <c r="P52" i="51"/>
  <c r="K52" i="51"/>
  <c r="Q47" i="48"/>
  <c r="O47" i="48"/>
  <c r="M52" i="51"/>
  <c r="Q52" i="51"/>
  <c r="D52" i="51"/>
  <c r="H52" i="51"/>
  <c r="E72" i="22"/>
  <c r="U72" i="22" s="1"/>
  <c r="E71" i="22"/>
  <c r="U71" i="22" s="1"/>
  <c r="M50" i="22"/>
  <c r="V67" i="22" s="1"/>
  <c r="D50" i="22"/>
  <c r="E106" i="22"/>
  <c r="E104" i="22"/>
  <c r="E103" i="22"/>
  <c r="U103" i="22" s="1"/>
  <c r="E99" i="22"/>
  <c r="E64" i="22"/>
  <c r="U64" i="22" s="1"/>
  <c r="T50" i="22"/>
  <c r="D48" i="22"/>
  <c r="E90" i="22"/>
  <c r="E98" i="22"/>
  <c r="E80" i="22"/>
  <c r="U80" i="22" s="1"/>
  <c r="E95" i="22"/>
  <c r="U95" i="22" s="1"/>
  <c r="E76" i="22"/>
  <c r="U76" i="22" s="1"/>
  <c r="M51" i="22"/>
  <c r="V92" i="22" s="1"/>
  <c r="E96" i="22"/>
  <c r="E92" i="22"/>
  <c r="E91" i="22"/>
  <c r="U91" i="22" s="1"/>
  <c r="E88" i="22"/>
  <c r="U88" i="22" s="1"/>
  <c r="E68" i="22"/>
  <c r="D52" i="22"/>
  <c r="E107" i="22"/>
  <c r="E105" i="22"/>
  <c r="E84" i="22"/>
  <c r="T51" i="22"/>
  <c r="M48" i="22"/>
  <c r="E67" i="22"/>
  <c r="U67" i="22" s="1"/>
  <c r="E75" i="22"/>
  <c r="E108" i="22"/>
  <c r="E89" i="22"/>
  <c r="M52" i="22"/>
  <c r="V84" i="22" s="1"/>
  <c r="M45" i="22"/>
  <c r="E83" i="22"/>
  <c r="E63" i="22"/>
  <c r="U63" i="22" s="1"/>
  <c r="E82" i="22"/>
  <c r="U82" i="22" s="1"/>
  <c r="E100" i="22"/>
  <c r="E66" i="22"/>
  <c r="U66" i="22" s="1"/>
  <c r="E74" i="22"/>
  <c r="U74" i="22" s="1"/>
  <c r="M47" i="22"/>
  <c r="E87" i="22"/>
  <c r="U87" i="22" s="1"/>
  <c r="E79" i="22"/>
  <c r="U79" i="22" s="1"/>
  <c r="E65" i="22"/>
  <c r="U65" i="22" s="1"/>
  <c r="D51" i="22"/>
  <c r="E97" i="22"/>
  <c r="E73" i="22"/>
  <c r="U73" i="22" s="1"/>
  <c r="D47" i="22"/>
  <c r="E81" i="22"/>
  <c r="T52" i="22"/>
  <c r="T6" i="7"/>
  <c r="T48" i="22"/>
  <c r="T47" i="22"/>
  <c r="T45" i="22"/>
  <c r="T8" i="7"/>
  <c r="T3" i="7"/>
  <c r="AC104" i="50" l="1"/>
  <c r="AC92" i="50"/>
  <c r="AC71" i="50"/>
  <c r="AC90" i="50"/>
  <c r="AC68" i="50"/>
  <c r="AC91" i="50"/>
  <c r="AC67" i="50"/>
  <c r="AC79" i="50"/>
  <c r="AC105" i="50"/>
  <c r="AC62" i="50"/>
  <c r="AC74" i="50"/>
  <c r="AC87" i="50"/>
  <c r="AC64" i="50"/>
  <c r="AC76" i="50"/>
  <c r="AC96" i="50"/>
  <c r="AC100" i="50"/>
  <c r="AC103" i="50"/>
  <c r="AC106" i="50"/>
  <c r="AC73" i="50"/>
  <c r="AC75" i="50"/>
  <c r="AC107" i="50"/>
  <c r="AC61" i="50"/>
  <c r="AC80" i="50"/>
  <c r="AC82" i="50"/>
  <c r="AC98" i="50"/>
  <c r="AC66" i="50"/>
  <c r="AC72" i="50"/>
  <c r="AC89" i="50"/>
  <c r="AC97" i="50"/>
  <c r="AC99" i="50"/>
  <c r="AC63" i="50"/>
  <c r="AC83" i="50"/>
  <c r="AC65" i="50"/>
  <c r="AC81" i="50"/>
  <c r="AC84" i="50"/>
  <c r="AC88" i="50"/>
  <c r="AC95" i="50"/>
  <c r="AC108" i="50"/>
  <c r="AC91" i="48"/>
  <c r="AC87" i="48"/>
  <c r="AC100" i="48"/>
  <c r="AC96" i="48"/>
  <c r="AC89" i="48"/>
  <c r="AC98" i="48"/>
  <c r="AC95" i="48"/>
  <c r="AC90" i="48"/>
  <c r="AC71" i="48"/>
  <c r="AC104" i="48"/>
  <c r="AC64" i="48"/>
  <c r="AC75" i="48"/>
  <c r="AC103" i="48"/>
  <c r="AC62" i="48"/>
  <c r="AC105" i="48"/>
  <c r="AC63" i="48"/>
  <c r="AC65" i="48"/>
  <c r="AC74" i="48"/>
  <c r="AC61" i="48"/>
  <c r="AC79" i="48"/>
  <c r="AC106" i="48"/>
  <c r="AC66" i="48"/>
  <c r="AC80" i="48"/>
  <c r="AC73" i="48"/>
  <c r="AC99" i="48"/>
  <c r="AC81" i="48"/>
  <c r="AC82" i="48"/>
  <c r="AC92" i="48"/>
  <c r="AC107" i="48"/>
  <c r="AC67" i="48"/>
  <c r="AC83" i="48"/>
  <c r="AC68" i="48"/>
  <c r="AC76" i="48"/>
  <c r="AC72" i="48"/>
  <c r="AC84" i="48"/>
  <c r="AC97" i="48"/>
  <c r="AC108" i="48"/>
  <c r="AC88" i="48"/>
  <c r="AC76" i="22"/>
  <c r="AC74" i="22"/>
  <c r="AC89" i="22"/>
  <c r="AC81" i="22"/>
  <c r="AC90" i="22"/>
  <c r="AC82" i="22"/>
  <c r="AC91" i="22"/>
  <c r="AC106" i="22"/>
  <c r="AC83" i="22"/>
  <c r="AC68" i="22"/>
  <c r="AC100" i="22"/>
  <c r="AC99" i="22"/>
  <c r="AC97" i="22"/>
  <c r="AC107" i="22"/>
  <c r="AC98" i="22"/>
  <c r="AC96" i="22"/>
  <c r="AC75" i="22"/>
  <c r="AC104" i="22"/>
  <c r="AC108" i="22"/>
  <c r="AC105" i="22"/>
  <c r="AC61" i="22"/>
  <c r="AC62" i="22"/>
  <c r="AC64" i="49"/>
  <c r="AC74" i="49"/>
  <c r="AC67" i="49"/>
  <c r="AC62" i="49"/>
  <c r="AC92" i="49"/>
  <c r="AC96" i="49"/>
  <c r="AC71" i="49"/>
  <c r="AC90" i="49"/>
  <c r="AC107" i="49"/>
  <c r="AC83" i="49"/>
  <c r="AC73" i="49"/>
  <c r="AC66" i="49"/>
  <c r="AC106" i="49"/>
  <c r="AC108" i="49"/>
  <c r="AC99" i="49"/>
  <c r="AC82" i="49"/>
  <c r="AC97" i="49"/>
  <c r="AC104" i="49"/>
  <c r="AC95" i="49"/>
  <c r="AC100" i="49"/>
  <c r="AC61" i="49"/>
  <c r="AC79" i="49"/>
  <c r="AC91" i="49"/>
  <c r="AC98" i="49"/>
  <c r="AC81" i="49"/>
  <c r="AC72" i="49"/>
  <c r="AC80" i="49"/>
  <c r="AC89" i="49"/>
  <c r="AC88" i="49"/>
  <c r="AC103" i="49"/>
  <c r="AC68" i="49"/>
  <c r="AC63" i="49"/>
  <c r="AC105" i="49"/>
  <c r="AC65" i="49"/>
  <c r="AC84" i="49"/>
  <c r="AC75" i="49"/>
  <c r="AC87" i="49"/>
  <c r="AC76" i="49"/>
  <c r="AC87" i="51"/>
  <c r="AC89" i="51"/>
  <c r="AC71" i="51"/>
  <c r="AC84" i="51"/>
  <c r="AC68" i="51"/>
  <c r="AC61" i="51"/>
  <c r="AC108" i="51"/>
  <c r="AC64" i="51"/>
  <c r="AC82" i="51"/>
  <c r="AC66" i="51"/>
  <c r="AC90" i="51"/>
  <c r="AC99" i="51"/>
  <c r="AC80" i="51"/>
  <c r="AC91" i="51"/>
  <c r="AC74" i="51"/>
  <c r="AC83" i="51"/>
  <c r="AC105" i="51"/>
  <c r="AC106" i="51"/>
  <c r="AC76" i="51"/>
  <c r="AC62" i="51"/>
  <c r="AC67" i="51"/>
  <c r="AC73" i="51"/>
  <c r="AC79" i="51"/>
  <c r="AC96" i="51"/>
  <c r="AC72" i="51"/>
  <c r="AC92" i="51"/>
  <c r="AC63" i="51"/>
  <c r="AC97" i="51"/>
  <c r="AC100" i="51"/>
  <c r="AC103" i="51"/>
  <c r="AC107" i="51"/>
  <c r="AC88" i="51"/>
  <c r="AC65" i="51"/>
  <c r="AC95" i="51"/>
  <c r="AC81" i="51"/>
  <c r="AC98" i="51"/>
  <c r="AC104" i="51"/>
  <c r="AC75" i="51"/>
  <c r="T49" i="50"/>
  <c r="O49" i="50"/>
  <c r="E49" i="50"/>
  <c r="D49" i="50"/>
  <c r="F49" i="50"/>
  <c r="G49" i="50"/>
  <c r="H49" i="50"/>
  <c r="I49" i="50"/>
  <c r="J49" i="50"/>
  <c r="K49" i="50"/>
  <c r="L49" i="50"/>
  <c r="M49" i="50"/>
  <c r="N49" i="50"/>
  <c r="P49" i="50"/>
  <c r="Q49" i="50"/>
  <c r="E49" i="48"/>
  <c r="H49" i="48"/>
  <c r="J49" i="48"/>
  <c r="O49" i="48"/>
  <c r="T49" i="22"/>
  <c r="M49" i="22"/>
  <c r="D49" i="22"/>
  <c r="AB76" i="22"/>
  <c r="AB90" i="22"/>
  <c r="AB81" i="22"/>
  <c r="AB74" i="22"/>
  <c r="AB89" i="22"/>
  <c r="AB82" i="22"/>
  <c r="AB91" i="22"/>
  <c r="AB105" i="22"/>
  <c r="AB100" i="22"/>
  <c r="AB99" i="22"/>
  <c r="AB96" i="22"/>
  <c r="AB75" i="22"/>
  <c r="AB68" i="22"/>
  <c r="AB97" i="22"/>
  <c r="AB106" i="22"/>
  <c r="AB107" i="22"/>
  <c r="AB104" i="22"/>
  <c r="AB98" i="22"/>
  <c r="AB108" i="22"/>
  <c r="AB83" i="22"/>
  <c r="AB61" i="22"/>
  <c r="AB62" i="22"/>
  <c r="AB66" i="51"/>
  <c r="AB96" i="51"/>
  <c r="AB82" i="51"/>
  <c r="AB103" i="51"/>
  <c r="AB100" i="51"/>
  <c r="AB64" i="51"/>
  <c r="AB99" i="51"/>
  <c r="AB81" i="51"/>
  <c r="AB95" i="51"/>
  <c r="AB80" i="51"/>
  <c r="AB74" i="51"/>
  <c r="AB88" i="51"/>
  <c r="AB105" i="51"/>
  <c r="AB67" i="51"/>
  <c r="AB90" i="51"/>
  <c r="AB84" i="51"/>
  <c r="AB92" i="51"/>
  <c r="AB108" i="51"/>
  <c r="AB62" i="51"/>
  <c r="AB72" i="51"/>
  <c r="AB75" i="51"/>
  <c r="AB63" i="51"/>
  <c r="AB73" i="51"/>
  <c r="AB68" i="51"/>
  <c r="AB91" i="51"/>
  <c r="AB107" i="51"/>
  <c r="AB71" i="51"/>
  <c r="AB104" i="51"/>
  <c r="AB97" i="51"/>
  <c r="AB65" i="51"/>
  <c r="AB83" i="51"/>
  <c r="AB79" i="51"/>
  <c r="AB87" i="51"/>
  <c r="AB89" i="51"/>
  <c r="AB106" i="51"/>
  <c r="AB98" i="51"/>
  <c r="AB76" i="51"/>
  <c r="AB61" i="51"/>
  <c r="AB92" i="50"/>
  <c r="AB104" i="50"/>
  <c r="AB71" i="50"/>
  <c r="AB68" i="50"/>
  <c r="AB90" i="50"/>
  <c r="AB67" i="50"/>
  <c r="AB91" i="50"/>
  <c r="AB89" i="50"/>
  <c r="AB63" i="50"/>
  <c r="AB64" i="50"/>
  <c r="AB66" i="50"/>
  <c r="AB74" i="50"/>
  <c r="AB76" i="50"/>
  <c r="AB82" i="50"/>
  <c r="AB103" i="50"/>
  <c r="AB65" i="50"/>
  <c r="AB72" i="50"/>
  <c r="AB62" i="50"/>
  <c r="AB79" i="50"/>
  <c r="AB81" i="50"/>
  <c r="AB84" i="50"/>
  <c r="AB96" i="50"/>
  <c r="AB107" i="50"/>
  <c r="AB61" i="50"/>
  <c r="AB97" i="50"/>
  <c r="AB100" i="50"/>
  <c r="AB95" i="50"/>
  <c r="AB105" i="50"/>
  <c r="AB108" i="50"/>
  <c r="AB73" i="50"/>
  <c r="AB75" i="50"/>
  <c r="AB83" i="50"/>
  <c r="AB99" i="50"/>
  <c r="AB106" i="50"/>
  <c r="AB80" i="50"/>
  <c r="AB87" i="50"/>
  <c r="AB88" i="50"/>
  <c r="AB98" i="50"/>
  <c r="AB83" i="49"/>
  <c r="AB92" i="49"/>
  <c r="AB106" i="49"/>
  <c r="AB108" i="49"/>
  <c r="AB100" i="49"/>
  <c r="AB97" i="49"/>
  <c r="AB99" i="49"/>
  <c r="AB88" i="49"/>
  <c r="AB89" i="49"/>
  <c r="AB90" i="49"/>
  <c r="AB87" i="49"/>
  <c r="AB103" i="49"/>
  <c r="AB98" i="49"/>
  <c r="AB95" i="49"/>
  <c r="AB61" i="49"/>
  <c r="AB62" i="49"/>
  <c r="AB63" i="49"/>
  <c r="AB104" i="49"/>
  <c r="AB91" i="49"/>
  <c r="AB64" i="49"/>
  <c r="AB66" i="49"/>
  <c r="AB67" i="49"/>
  <c r="AB68" i="49"/>
  <c r="AB96" i="49"/>
  <c r="AB71" i="49"/>
  <c r="AB107" i="49"/>
  <c r="AB72" i="49"/>
  <c r="AB73" i="49"/>
  <c r="AB74" i="49"/>
  <c r="AB79" i="49"/>
  <c r="AB80" i="49"/>
  <c r="AB81" i="49"/>
  <c r="AB105" i="49"/>
  <c r="AB82" i="49"/>
  <c r="AB75" i="49"/>
  <c r="AB84" i="49"/>
  <c r="AB65" i="49"/>
  <c r="AB76" i="49"/>
  <c r="AB96" i="48"/>
  <c r="AB61" i="48"/>
  <c r="AB87" i="48"/>
  <c r="AB79" i="48"/>
  <c r="AB95" i="48"/>
  <c r="AB71" i="48"/>
  <c r="AB92" i="48"/>
  <c r="AB68" i="48"/>
  <c r="AB88" i="48"/>
  <c r="AB80" i="48"/>
  <c r="AB84" i="48"/>
  <c r="AB99" i="48"/>
  <c r="AB82" i="48"/>
  <c r="AB100" i="48"/>
  <c r="AB81" i="48"/>
  <c r="AB97" i="48"/>
  <c r="AB90" i="48"/>
  <c r="AB89" i="48"/>
  <c r="AB64" i="48"/>
  <c r="AB74" i="48"/>
  <c r="AB72" i="48"/>
  <c r="AB104" i="48"/>
  <c r="AB75" i="48"/>
  <c r="AB63" i="48"/>
  <c r="AB98" i="48"/>
  <c r="AB105" i="48"/>
  <c r="AB103" i="48"/>
  <c r="AB65" i="48"/>
  <c r="AB106" i="48"/>
  <c r="AB62" i="48"/>
  <c r="AB66" i="48"/>
  <c r="AB73" i="48"/>
  <c r="AB67" i="48"/>
  <c r="AB91" i="48"/>
  <c r="AB83" i="48"/>
  <c r="AB107" i="48"/>
  <c r="AB76" i="48"/>
  <c r="AB108" i="48"/>
  <c r="K48" i="48"/>
  <c r="F48" i="48"/>
  <c r="I48" i="48"/>
  <c r="L48" i="48"/>
  <c r="D48" i="48"/>
  <c r="H48" i="48"/>
  <c r="T48" i="48"/>
  <c r="G48" i="48"/>
  <c r="E48" i="48"/>
  <c r="AA72" i="48"/>
  <c r="AA82" i="48"/>
  <c r="AA79" i="48"/>
  <c r="AA95" i="48"/>
  <c r="AA63" i="48"/>
  <c r="AA90" i="48"/>
  <c r="AA87" i="48"/>
  <c r="AA62" i="48"/>
  <c r="AA96" i="48"/>
  <c r="AA76" i="48"/>
  <c r="AA68" i="48"/>
  <c r="AA71" i="48"/>
  <c r="AA103" i="48"/>
  <c r="AA97" i="48"/>
  <c r="AA100" i="48"/>
  <c r="AA98" i="48"/>
  <c r="AA89" i="48"/>
  <c r="AA92" i="48"/>
  <c r="AA61" i="48"/>
  <c r="AA83" i="48"/>
  <c r="AA80" i="48"/>
  <c r="AA88" i="48"/>
  <c r="AA91" i="48"/>
  <c r="AA81" i="48"/>
  <c r="AA84" i="48"/>
  <c r="AA99" i="48"/>
  <c r="AA74" i="48"/>
  <c r="AA64" i="48"/>
  <c r="AA104" i="48"/>
  <c r="AA75" i="48"/>
  <c r="AA105" i="48"/>
  <c r="AA65" i="48"/>
  <c r="AA106" i="48"/>
  <c r="AA66" i="48"/>
  <c r="AA73" i="48"/>
  <c r="AA67" i="48"/>
  <c r="AA107" i="48"/>
  <c r="AA108" i="48"/>
  <c r="AA74" i="22"/>
  <c r="AA76" i="22"/>
  <c r="AA81" i="22"/>
  <c r="AA90" i="22"/>
  <c r="AA89" i="22"/>
  <c r="AA82" i="22"/>
  <c r="AA91" i="22"/>
  <c r="AA96" i="22"/>
  <c r="AA75" i="22"/>
  <c r="AA83" i="22"/>
  <c r="AA68" i="22"/>
  <c r="AA108" i="22"/>
  <c r="AA104" i="22"/>
  <c r="AA106" i="22"/>
  <c r="AA99" i="22"/>
  <c r="AA105" i="22"/>
  <c r="AA98" i="22"/>
  <c r="AA100" i="22"/>
  <c r="AA107" i="22"/>
  <c r="AA97" i="22"/>
  <c r="AA61" i="22"/>
  <c r="AA62" i="22"/>
  <c r="AA97" i="51"/>
  <c r="AA88" i="51"/>
  <c r="AA81" i="51"/>
  <c r="AA72" i="51"/>
  <c r="AA64" i="51"/>
  <c r="AA89" i="51"/>
  <c r="AA83" i="51"/>
  <c r="AA103" i="51"/>
  <c r="AA62" i="51"/>
  <c r="AA92" i="51"/>
  <c r="AA95" i="51"/>
  <c r="AA98" i="51"/>
  <c r="AA76" i="51"/>
  <c r="AA106" i="51"/>
  <c r="AA107" i="51"/>
  <c r="AA82" i="51"/>
  <c r="AA108" i="51"/>
  <c r="AA63" i="51"/>
  <c r="AA68" i="51"/>
  <c r="AA79" i="51"/>
  <c r="AA96" i="51"/>
  <c r="AA66" i="51"/>
  <c r="AA73" i="51"/>
  <c r="AA74" i="51"/>
  <c r="AA84" i="51"/>
  <c r="AA87" i="51"/>
  <c r="AA91" i="51"/>
  <c r="AA80" i="51"/>
  <c r="AA67" i="51"/>
  <c r="AA100" i="51"/>
  <c r="AA65" i="51"/>
  <c r="AA104" i="51"/>
  <c r="AA61" i="51"/>
  <c r="AA105" i="51"/>
  <c r="AA75" i="51"/>
  <c r="AA71" i="51"/>
  <c r="AA99" i="51"/>
  <c r="AA90" i="51"/>
  <c r="AA105" i="49"/>
  <c r="AA83" i="49"/>
  <c r="AA92" i="49"/>
  <c r="AA106" i="49"/>
  <c r="AA82" i="49"/>
  <c r="AA98" i="49"/>
  <c r="AA99" i="49"/>
  <c r="AA96" i="49"/>
  <c r="AA100" i="49"/>
  <c r="AA71" i="49"/>
  <c r="AA64" i="49"/>
  <c r="AA79" i="49"/>
  <c r="AA72" i="49"/>
  <c r="AA62" i="49"/>
  <c r="AA103" i="49"/>
  <c r="AA80" i="49"/>
  <c r="AA95" i="49"/>
  <c r="AA73" i="49"/>
  <c r="AA91" i="49"/>
  <c r="AA61" i="49"/>
  <c r="AA88" i="49"/>
  <c r="AA104" i="49"/>
  <c r="AA89" i="49"/>
  <c r="AA67" i="49"/>
  <c r="AA90" i="49"/>
  <c r="AA107" i="49"/>
  <c r="AA68" i="49"/>
  <c r="AA63" i="49"/>
  <c r="AA74" i="49"/>
  <c r="AA81" i="49"/>
  <c r="AA66" i="49"/>
  <c r="AA97" i="49"/>
  <c r="AA108" i="49"/>
  <c r="AA87" i="49"/>
  <c r="AA76" i="49"/>
  <c r="AA65" i="49"/>
  <c r="AA75" i="49"/>
  <c r="AA84" i="49"/>
  <c r="AA92" i="50"/>
  <c r="AA81" i="50"/>
  <c r="AA89" i="50"/>
  <c r="AA71" i="50"/>
  <c r="AA90" i="50"/>
  <c r="AA68" i="50"/>
  <c r="AA104" i="50"/>
  <c r="AA91" i="50"/>
  <c r="AA67" i="50"/>
  <c r="AA106" i="50"/>
  <c r="AA61" i="50"/>
  <c r="AA83" i="50"/>
  <c r="AA96" i="50"/>
  <c r="AA98" i="50"/>
  <c r="AA99" i="50"/>
  <c r="AA65" i="50"/>
  <c r="AA75" i="50"/>
  <c r="AA76" i="50"/>
  <c r="AA88" i="50"/>
  <c r="AA103" i="50"/>
  <c r="AA62" i="50"/>
  <c r="AA63" i="50"/>
  <c r="AA64" i="50"/>
  <c r="AA97" i="50"/>
  <c r="AA66" i="50"/>
  <c r="AA74" i="50"/>
  <c r="AA84" i="50"/>
  <c r="AA100" i="50"/>
  <c r="AA105" i="50"/>
  <c r="AA107" i="50"/>
  <c r="AA72" i="50"/>
  <c r="AA95" i="50"/>
  <c r="AA73" i="50"/>
  <c r="AA80" i="50"/>
  <c r="AA87" i="50"/>
  <c r="AA79" i="50"/>
  <c r="AA82" i="50"/>
  <c r="AA108" i="50"/>
  <c r="M47" i="51"/>
  <c r="J47" i="51"/>
  <c r="G47" i="51"/>
  <c r="Q47" i="51"/>
  <c r="N47" i="51"/>
  <c r="E47" i="51"/>
  <c r="D47" i="51"/>
  <c r="P47" i="51"/>
  <c r="F47" i="51"/>
  <c r="O47" i="51"/>
  <c r="I47" i="51"/>
  <c r="T47" i="51"/>
  <c r="L47" i="51"/>
  <c r="K47" i="51"/>
  <c r="H47" i="51"/>
  <c r="T47" i="49"/>
  <c r="H47" i="49"/>
  <c r="G47" i="49"/>
  <c r="F47" i="49"/>
  <c r="E47" i="49"/>
  <c r="D47" i="49"/>
  <c r="I47" i="49"/>
  <c r="Q47" i="49"/>
  <c r="P47" i="49"/>
  <c r="O47" i="49"/>
  <c r="N47" i="49"/>
  <c r="M47" i="49"/>
  <c r="L47" i="49"/>
  <c r="K47" i="49"/>
  <c r="J47" i="49"/>
  <c r="O47" i="50"/>
  <c r="M47" i="50"/>
  <c r="J47" i="50"/>
  <c r="L47" i="50"/>
  <c r="K47" i="50"/>
  <c r="I47" i="50"/>
  <c r="H47" i="50"/>
  <c r="N47" i="50"/>
  <c r="G47" i="50"/>
  <c r="F47" i="50"/>
  <c r="E47" i="50"/>
  <c r="D47" i="50"/>
  <c r="Z104" i="48"/>
  <c r="Z71" i="48"/>
  <c r="Z72" i="48"/>
  <c r="Z73" i="48"/>
  <c r="Z74" i="48"/>
  <c r="Z75" i="48"/>
  <c r="Z105" i="48"/>
  <c r="Z64" i="48"/>
  <c r="Z65" i="48"/>
  <c r="Z68" i="48"/>
  <c r="Z81" i="48"/>
  <c r="Z67" i="48"/>
  <c r="Z106" i="48"/>
  <c r="Z79" i="48"/>
  <c r="Z82" i="48"/>
  <c r="Z84" i="48"/>
  <c r="Z87" i="48"/>
  <c r="Z89" i="48"/>
  <c r="Z90" i="48"/>
  <c r="Z91" i="48"/>
  <c r="Z95" i="48"/>
  <c r="Z99" i="48"/>
  <c r="Z96" i="48"/>
  <c r="Z97" i="48"/>
  <c r="Z103" i="48"/>
  <c r="Z107" i="48"/>
  <c r="Z66" i="48"/>
  <c r="Z80" i="48"/>
  <c r="Z83" i="48"/>
  <c r="Z76" i="48"/>
  <c r="Z88" i="48"/>
  <c r="Z98" i="48"/>
  <c r="Z100" i="48"/>
  <c r="Z92" i="48"/>
  <c r="Z61" i="48"/>
  <c r="Z62" i="48"/>
  <c r="Z63" i="48"/>
  <c r="Z108" i="48"/>
  <c r="Z76" i="22"/>
  <c r="Z74" i="22"/>
  <c r="Z81" i="22"/>
  <c r="Z90" i="22"/>
  <c r="Z89" i="22"/>
  <c r="Z91" i="22"/>
  <c r="Z82" i="22"/>
  <c r="Z98" i="22"/>
  <c r="Z108" i="22"/>
  <c r="Z99" i="22"/>
  <c r="Z100" i="22"/>
  <c r="Z104" i="22"/>
  <c r="Z105" i="22"/>
  <c r="Z106" i="22"/>
  <c r="Z68" i="22"/>
  <c r="Z83" i="22"/>
  <c r="Z97" i="22"/>
  <c r="Z96" i="22"/>
  <c r="Z75" i="22"/>
  <c r="Z107" i="22"/>
  <c r="Z62" i="22"/>
  <c r="Z61" i="22"/>
  <c r="Z84" i="51"/>
  <c r="Z71" i="51"/>
  <c r="Z106" i="51"/>
  <c r="Z107" i="51"/>
  <c r="Z105" i="51"/>
  <c r="Z66" i="51"/>
  <c r="Z68" i="51"/>
  <c r="Z108" i="51"/>
  <c r="Z82" i="51"/>
  <c r="Z97" i="51"/>
  <c r="Z63" i="51"/>
  <c r="Z99" i="51"/>
  <c r="Z100" i="51"/>
  <c r="Z96" i="51"/>
  <c r="Z98" i="51"/>
  <c r="Z62" i="51"/>
  <c r="Z79" i="51"/>
  <c r="Z83" i="51"/>
  <c r="Z64" i="51"/>
  <c r="Z95" i="51"/>
  <c r="Z81" i="51"/>
  <c r="Z65" i="51"/>
  <c r="Z87" i="51"/>
  <c r="Z76" i="51"/>
  <c r="Z92" i="51"/>
  <c r="Z88" i="51"/>
  <c r="Z91" i="51"/>
  <c r="Z61" i="51"/>
  <c r="Z74" i="51"/>
  <c r="Z73" i="51"/>
  <c r="Z89" i="51"/>
  <c r="Z103" i="51"/>
  <c r="Z80" i="51"/>
  <c r="Z67" i="51"/>
  <c r="Z72" i="51"/>
  <c r="Z104" i="51"/>
  <c r="Z75" i="51"/>
  <c r="Z90" i="51"/>
  <c r="Z92" i="50"/>
  <c r="Z104" i="50"/>
  <c r="Z82" i="50"/>
  <c r="Z91" i="50"/>
  <c r="Z67" i="50"/>
  <c r="Z108" i="50"/>
  <c r="Z81" i="50"/>
  <c r="Z71" i="50"/>
  <c r="Z68" i="50"/>
  <c r="Z90" i="50"/>
  <c r="Z89" i="50"/>
  <c r="Z63" i="50"/>
  <c r="Z74" i="50"/>
  <c r="Z80" i="50"/>
  <c r="Z87" i="50"/>
  <c r="Z98" i="50"/>
  <c r="Z103" i="50"/>
  <c r="Z107" i="50"/>
  <c r="Z62" i="50"/>
  <c r="Z65" i="50"/>
  <c r="Z66" i="50"/>
  <c r="Z75" i="50"/>
  <c r="Z79" i="50"/>
  <c r="Z95" i="50"/>
  <c r="Z99" i="50"/>
  <c r="Z100" i="50"/>
  <c r="Z106" i="50"/>
  <c r="Z64" i="50"/>
  <c r="Z72" i="50"/>
  <c r="Z73" i="50"/>
  <c r="Z84" i="50"/>
  <c r="Z88" i="50"/>
  <c r="Z97" i="50"/>
  <c r="Z105" i="50"/>
  <c r="Z96" i="50"/>
  <c r="Z83" i="50"/>
  <c r="Z61" i="50"/>
  <c r="Z76" i="50"/>
  <c r="Z68" i="49"/>
  <c r="Z79" i="49"/>
  <c r="Z64" i="49"/>
  <c r="Z71" i="49"/>
  <c r="Z74" i="49"/>
  <c r="Z82" i="49"/>
  <c r="Z80" i="49"/>
  <c r="Z63" i="49"/>
  <c r="Z100" i="49"/>
  <c r="Z108" i="49"/>
  <c r="Z90" i="49"/>
  <c r="Z105" i="49"/>
  <c r="Z65" i="49"/>
  <c r="Z91" i="49"/>
  <c r="Z73" i="49"/>
  <c r="Z67" i="49"/>
  <c r="Z106" i="49"/>
  <c r="Z87" i="49"/>
  <c r="Z96" i="49"/>
  <c r="Z95" i="49"/>
  <c r="Z88" i="49"/>
  <c r="Z81" i="49"/>
  <c r="Z98" i="49"/>
  <c r="Z99" i="49"/>
  <c r="Z62" i="49"/>
  <c r="Z97" i="49"/>
  <c r="Z72" i="49"/>
  <c r="Z104" i="49"/>
  <c r="Z66" i="49"/>
  <c r="Z83" i="49"/>
  <c r="Z92" i="49"/>
  <c r="Z89" i="49"/>
  <c r="Z103" i="49"/>
  <c r="Z84" i="49"/>
  <c r="Z61" i="49"/>
  <c r="Z107" i="49"/>
  <c r="Z75" i="49"/>
  <c r="Z76" i="49"/>
  <c r="K46" i="48"/>
  <c r="J46" i="48"/>
  <c r="P46" i="48"/>
  <c r="D46" i="48"/>
  <c r="O46" i="48"/>
  <c r="I46" i="48"/>
  <c r="T46" i="48"/>
  <c r="M46" i="48"/>
  <c r="G46" i="48"/>
  <c r="Q46" i="48"/>
  <c r="F46" i="48"/>
  <c r="H46" i="48"/>
  <c r="L46" i="48"/>
  <c r="E46" i="48"/>
  <c r="N46" i="48"/>
  <c r="T46" i="22"/>
  <c r="M46" i="22"/>
  <c r="D46" i="22"/>
  <c r="O46" i="51"/>
  <c r="M46" i="51"/>
  <c r="G46" i="51"/>
  <c r="D46" i="51"/>
  <c r="N46" i="51"/>
  <c r="P46" i="51"/>
  <c r="Q46" i="51"/>
  <c r="J46" i="51"/>
  <c r="E46" i="51"/>
  <c r="T46" i="51"/>
  <c r="L46" i="51"/>
  <c r="K46" i="51"/>
  <c r="I46" i="51"/>
  <c r="H46" i="51"/>
  <c r="F46" i="51"/>
  <c r="I46" i="50"/>
  <c r="O46" i="50"/>
  <c r="L46" i="50"/>
  <c r="Q46" i="50"/>
  <c r="N46" i="50"/>
  <c r="J46" i="50"/>
  <c r="P46" i="50"/>
  <c r="E46" i="50"/>
  <c r="T46" i="50"/>
  <c r="H46" i="50"/>
  <c r="G46" i="50"/>
  <c r="F46" i="50"/>
  <c r="D46" i="50"/>
  <c r="K46" i="50"/>
  <c r="M46" i="50"/>
  <c r="P46" i="49"/>
  <c r="Q46" i="49"/>
  <c r="N46" i="49"/>
  <c r="L46" i="49"/>
  <c r="E46" i="49"/>
  <c r="I46" i="49"/>
  <c r="O46" i="49"/>
  <c r="M46" i="49"/>
  <c r="T46" i="49"/>
  <c r="K46" i="49"/>
  <c r="D46" i="49"/>
  <c r="F46" i="49"/>
  <c r="G46" i="49"/>
  <c r="J46" i="49"/>
  <c r="H46" i="49"/>
  <c r="R75" i="49"/>
  <c r="I75" i="49"/>
  <c r="J75" i="49"/>
  <c r="O75" i="49"/>
  <c r="H75" i="49"/>
  <c r="P75" i="49"/>
  <c r="L75" i="49"/>
  <c r="Q75" i="49"/>
  <c r="K75" i="49"/>
  <c r="M75" i="49"/>
  <c r="F75" i="49"/>
  <c r="H88" i="49"/>
  <c r="Q88" i="49"/>
  <c r="M84" i="49"/>
  <c r="L105" i="49"/>
  <c r="J89" i="49"/>
  <c r="Q89" i="49"/>
  <c r="L84" i="49"/>
  <c r="H90" i="49"/>
  <c r="M90" i="49"/>
  <c r="R90" i="49"/>
  <c r="K84" i="49"/>
  <c r="H91" i="49"/>
  <c r="I96" i="49"/>
  <c r="P96" i="49"/>
  <c r="J84" i="49"/>
  <c r="H97" i="49"/>
  <c r="O97" i="49"/>
  <c r="M105" i="49"/>
  <c r="I84" i="49"/>
  <c r="L98" i="49"/>
  <c r="Q98" i="49"/>
  <c r="H84" i="49"/>
  <c r="F84" i="49"/>
  <c r="H99" i="49"/>
  <c r="M99" i="49"/>
  <c r="P99" i="49"/>
  <c r="O105" i="49"/>
  <c r="H100" i="49"/>
  <c r="L100" i="49"/>
  <c r="P100" i="49"/>
  <c r="P105" i="49"/>
  <c r="Q105" i="49"/>
  <c r="J103" i="49"/>
  <c r="H106" i="49"/>
  <c r="J106" i="49"/>
  <c r="M106" i="49"/>
  <c r="O106" i="49"/>
  <c r="R106" i="49"/>
  <c r="Y83" i="49"/>
  <c r="Y106" i="49"/>
  <c r="R105" i="49"/>
  <c r="Y105" i="49"/>
  <c r="I71" i="49"/>
  <c r="R83" i="49"/>
  <c r="Q83" i="49"/>
  <c r="P83" i="49"/>
  <c r="F107" i="49"/>
  <c r="H107" i="49"/>
  <c r="K107" i="49"/>
  <c r="M107" i="49"/>
  <c r="O107" i="49"/>
  <c r="R107" i="49"/>
  <c r="I108" i="49"/>
  <c r="K108" i="49"/>
  <c r="M108" i="49"/>
  <c r="Q108" i="49"/>
  <c r="Y108" i="49"/>
  <c r="Y71" i="49"/>
  <c r="M76" i="49"/>
  <c r="Y76" i="49"/>
  <c r="I87" i="49"/>
  <c r="P87" i="49"/>
  <c r="O83" i="49"/>
  <c r="J88" i="49"/>
  <c r="M83" i="49"/>
  <c r="O89" i="49"/>
  <c r="J91" i="49"/>
  <c r="K96" i="49"/>
  <c r="Y96" i="49"/>
  <c r="I97" i="49"/>
  <c r="Q97" i="49"/>
  <c r="L83" i="49"/>
  <c r="R71" i="49"/>
  <c r="K83" i="49"/>
  <c r="I98" i="49"/>
  <c r="P98" i="49"/>
  <c r="J83" i="49"/>
  <c r="L99" i="49"/>
  <c r="Q71" i="49"/>
  <c r="I83" i="49"/>
  <c r="Q100" i="49"/>
  <c r="H83" i="49"/>
  <c r="K76" i="49"/>
  <c r="F83" i="49"/>
  <c r="R76" i="49"/>
  <c r="Y75" i="49"/>
  <c r="H76" i="49"/>
  <c r="O76" i="49"/>
  <c r="O87" i="49"/>
  <c r="K87" i="49"/>
  <c r="R87" i="49"/>
  <c r="L88" i="49"/>
  <c r="R88" i="49"/>
  <c r="Y88" i="49"/>
  <c r="Y82" i="49"/>
  <c r="L89" i="49"/>
  <c r="R82" i="49"/>
  <c r="F90" i="49"/>
  <c r="L90" i="49"/>
  <c r="Q90" i="49"/>
  <c r="Q82" i="49"/>
  <c r="L96" i="49"/>
  <c r="R96" i="49"/>
  <c r="J97" i="49"/>
  <c r="M98" i="49"/>
  <c r="Y87" i="49"/>
  <c r="I88" i="49"/>
  <c r="H71" i="49"/>
  <c r="J100" i="49"/>
  <c r="R100" i="49"/>
  <c r="P82" i="49"/>
  <c r="I89" i="49"/>
  <c r="P106" i="49"/>
  <c r="O82" i="49"/>
  <c r="F76" i="49"/>
  <c r="L76" i="49"/>
  <c r="M82" i="49"/>
  <c r="Q87" i="49"/>
  <c r="P89" i="49"/>
  <c r="O88" i="49"/>
  <c r="P71" i="49"/>
  <c r="K89" i="49"/>
  <c r="R89" i="49"/>
  <c r="L82" i="49"/>
  <c r="F68" i="49"/>
  <c r="J90" i="49"/>
  <c r="I90" i="49"/>
  <c r="F91" i="49"/>
  <c r="H96" i="49"/>
  <c r="O96" i="49"/>
  <c r="P90" i="49"/>
  <c r="M97" i="49"/>
  <c r="Y97" i="49"/>
  <c r="H98" i="49"/>
  <c r="I99" i="49"/>
  <c r="Q99" i="49"/>
  <c r="Y99" i="49"/>
  <c r="K82" i="49"/>
  <c r="L103" i="49"/>
  <c r="L106" i="49"/>
  <c r="J107" i="49"/>
  <c r="P76" i="49"/>
  <c r="J82" i="49"/>
  <c r="F87" i="49"/>
  <c r="J87" i="49"/>
  <c r="K88" i="49"/>
  <c r="D45" i="49"/>
  <c r="E45" i="49"/>
  <c r="F45" i="49"/>
  <c r="G45" i="49"/>
  <c r="H45" i="49"/>
  <c r="I45" i="49"/>
  <c r="J45" i="49"/>
  <c r="K45" i="49"/>
  <c r="L45" i="49"/>
  <c r="M45" i="49"/>
  <c r="N45" i="49"/>
  <c r="O45" i="49"/>
  <c r="P45" i="49"/>
  <c r="Q45" i="49"/>
  <c r="T45" i="49"/>
  <c r="I91" i="49"/>
  <c r="M96" i="49"/>
  <c r="L97" i="49"/>
  <c r="R97" i="49"/>
  <c r="J98" i="49"/>
  <c r="O98" i="49"/>
  <c r="Y98" i="49"/>
  <c r="J99" i="49"/>
  <c r="O99" i="49"/>
  <c r="R99" i="49"/>
  <c r="F100" i="49"/>
  <c r="I100" i="49"/>
  <c r="M100" i="49"/>
  <c r="Y100" i="49"/>
  <c r="H103" i="49"/>
  <c r="K103" i="49"/>
  <c r="O103" i="49"/>
  <c r="F106" i="49"/>
  <c r="I106" i="49"/>
  <c r="K106" i="49"/>
  <c r="Q106" i="49"/>
  <c r="I107" i="49"/>
  <c r="L107" i="49"/>
  <c r="P107" i="49"/>
  <c r="Q107" i="49"/>
  <c r="Y107" i="49"/>
  <c r="F108" i="49"/>
  <c r="H108" i="49"/>
  <c r="J108" i="49"/>
  <c r="J74" i="49"/>
  <c r="H68" i="49"/>
  <c r="I82" i="49"/>
  <c r="I68" i="49"/>
  <c r="J68" i="49"/>
  <c r="K68" i="49"/>
  <c r="L68" i="49"/>
  <c r="M68" i="49"/>
  <c r="O68" i="49"/>
  <c r="P68" i="49"/>
  <c r="Q68" i="49"/>
  <c r="R68" i="49"/>
  <c r="O71" i="49"/>
  <c r="Y68" i="49"/>
  <c r="L108" i="49"/>
  <c r="O108" i="49"/>
  <c r="H82" i="49"/>
  <c r="F82" i="49"/>
  <c r="P108" i="49"/>
  <c r="R108" i="49"/>
  <c r="Y81" i="49"/>
  <c r="R81" i="49"/>
  <c r="Q81" i="49"/>
  <c r="P81" i="49"/>
  <c r="O81" i="49"/>
  <c r="M81" i="49"/>
  <c r="L81" i="49"/>
  <c r="K81" i="49"/>
  <c r="J81" i="49"/>
  <c r="I81" i="49"/>
  <c r="H81" i="49"/>
  <c r="F81" i="49"/>
  <c r="Y80" i="49"/>
  <c r="R80" i="49"/>
  <c r="Q80" i="49"/>
  <c r="P80" i="49"/>
  <c r="O80" i="49"/>
  <c r="M80" i="49"/>
  <c r="L80" i="49"/>
  <c r="K80" i="49"/>
  <c r="J80" i="49"/>
  <c r="I80" i="49"/>
  <c r="H80" i="49"/>
  <c r="F80" i="49"/>
  <c r="Y79" i="49"/>
  <c r="R79" i="49"/>
  <c r="Q79" i="49"/>
  <c r="P79" i="49"/>
  <c r="O79" i="49"/>
  <c r="M79" i="49"/>
  <c r="L79" i="49"/>
  <c r="K79" i="49"/>
  <c r="J79" i="49"/>
  <c r="I79" i="49"/>
  <c r="H79" i="49"/>
  <c r="F79" i="49"/>
  <c r="Y74" i="49"/>
  <c r="R74" i="49"/>
  <c r="Q74" i="49"/>
  <c r="P74" i="49"/>
  <c r="O74" i="49"/>
  <c r="M74" i="49"/>
  <c r="L74" i="49"/>
  <c r="K74" i="49"/>
  <c r="I65" i="49"/>
  <c r="I74" i="49"/>
  <c r="H74" i="49"/>
  <c r="F74" i="49"/>
  <c r="Y61" i="49"/>
  <c r="F71" i="49"/>
  <c r="Y73" i="49"/>
  <c r="R73" i="49"/>
  <c r="Q73" i="49"/>
  <c r="P73" i="49"/>
  <c r="Y62" i="49"/>
  <c r="M71" i="49"/>
  <c r="O73" i="49"/>
  <c r="M73" i="49"/>
  <c r="L73" i="49"/>
  <c r="K73" i="49"/>
  <c r="F63" i="49"/>
  <c r="H63" i="49"/>
  <c r="I63" i="49"/>
  <c r="J63" i="49"/>
  <c r="K63" i="49"/>
  <c r="L63" i="49"/>
  <c r="M63" i="49"/>
  <c r="O63" i="49"/>
  <c r="P63" i="49"/>
  <c r="Q63" i="49"/>
  <c r="R63" i="49"/>
  <c r="J73" i="49"/>
  <c r="Y63" i="49"/>
  <c r="L71" i="49"/>
  <c r="I73" i="49"/>
  <c r="H73" i="49"/>
  <c r="F73" i="49"/>
  <c r="F64" i="49"/>
  <c r="H64" i="49"/>
  <c r="I64" i="49"/>
  <c r="J64" i="49"/>
  <c r="K64" i="49"/>
  <c r="L64" i="49"/>
  <c r="M64" i="49"/>
  <c r="O64" i="49"/>
  <c r="P64" i="49"/>
  <c r="Q64" i="49"/>
  <c r="R64" i="49"/>
  <c r="Y64" i="49"/>
  <c r="K71" i="49"/>
  <c r="Y72" i="49"/>
  <c r="R72" i="49"/>
  <c r="Q72" i="49"/>
  <c r="P72" i="49"/>
  <c r="F65" i="49"/>
  <c r="H65" i="49"/>
  <c r="J65" i="49"/>
  <c r="K65" i="49"/>
  <c r="L65" i="49"/>
  <c r="M65" i="49"/>
  <c r="O65" i="49"/>
  <c r="P65" i="49"/>
  <c r="Q65" i="49"/>
  <c r="R65" i="49"/>
  <c r="O72" i="49"/>
  <c r="Y65" i="49"/>
  <c r="M72" i="49"/>
  <c r="L72" i="49"/>
  <c r="K72" i="49"/>
  <c r="F66" i="49"/>
  <c r="H66" i="49"/>
  <c r="I66" i="49"/>
  <c r="J66" i="49"/>
  <c r="K66" i="49"/>
  <c r="L66" i="49"/>
  <c r="M66" i="49"/>
  <c r="O66" i="49"/>
  <c r="P66" i="49"/>
  <c r="Q66" i="49"/>
  <c r="R66" i="49"/>
  <c r="J72" i="49"/>
  <c r="Y66" i="49"/>
  <c r="J71" i="49"/>
  <c r="I72" i="49"/>
  <c r="H72" i="49"/>
  <c r="F72" i="49"/>
  <c r="F67" i="49"/>
  <c r="H67" i="49"/>
  <c r="I67" i="49"/>
  <c r="J67" i="49"/>
  <c r="K67" i="49"/>
  <c r="L67" i="49"/>
  <c r="M67" i="49"/>
  <c r="O67" i="49"/>
  <c r="P67" i="49"/>
  <c r="Q67" i="49"/>
  <c r="R67" i="49"/>
  <c r="Y67" i="49"/>
  <c r="O84" i="49"/>
  <c r="P84" i="49"/>
  <c r="Q84" i="49"/>
  <c r="R84" i="49"/>
  <c r="Y84" i="49"/>
  <c r="J76" i="49"/>
  <c r="L87" i="49"/>
  <c r="F88" i="49"/>
  <c r="M88" i="49"/>
  <c r="F89" i="49"/>
  <c r="M89" i="49"/>
  <c r="O90" i="49"/>
  <c r="Y90" i="49"/>
  <c r="L91" i="49"/>
  <c r="M91" i="49"/>
  <c r="O91" i="49"/>
  <c r="P91" i="49"/>
  <c r="Q91" i="49"/>
  <c r="R91" i="49"/>
  <c r="Y91" i="49"/>
  <c r="K104" i="49"/>
  <c r="F92" i="49"/>
  <c r="H92" i="49"/>
  <c r="I92" i="49"/>
  <c r="J92" i="49"/>
  <c r="K92" i="49"/>
  <c r="L92" i="49"/>
  <c r="M92" i="49"/>
  <c r="O92" i="49"/>
  <c r="P92" i="49"/>
  <c r="Q92" i="49"/>
  <c r="R92" i="49"/>
  <c r="Y92" i="49"/>
  <c r="F95" i="49"/>
  <c r="H95" i="49"/>
  <c r="I95" i="49"/>
  <c r="J95" i="49"/>
  <c r="K95" i="49"/>
  <c r="L95" i="49"/>
  <c r="M95" i="49"/>
  <c r="O95" i="49"/>
  <c r="P95" i="49"/>
  <c r="Q95" i="49"/>
  <c r="R95" i="49"/>
  <c r="Y95" i="49"/>
  <c r="F96" i="49"/>
  <c r="I76" i="49"/>
  <c r="Q76" i="49"/>
  <c r="H87" i="49"/>
  <c r="M87" i="49"/>
  <c r="P88" i="49"/>
  <c r="H89" i="49"/>
  <c r="Y89" i="49"/>
  <c r="K90" i="49"/>
  <c r="K91" i="49"/>
  <c r="J96" i="49"/>
  <c r="Q96" i="49"/>
  <c r="F97" i="49"/>
  <c r="K97" i="49"/>
  <c r="P97" i="49"/>
  <c r="F98" i="49"/>
  <c r="K98" i="49"/>
  <c r="R98" i="49"/>
  <c r="F99" i="49"/>
  <c r="K99" i="49"/>
  <c r="K100" i="49"/>
  <c r="O100" i="49"/>
  <c r="F103" i="49"/>
  <c r="I103" i="49"/>
  <c r="M103" i="49"/>
  <c r="P103" i="49"/>
  <c r="Q103" i="49"/>
  <c r="R103" i="49"/>
  <c r="Y103" i="49"/>
  <c r="F104" i="49"/>
  <c r="H104" i="49"/>
  <c r="I104" i="49"/>
  <c r="J104" i="49"/>
  <c r="L104" i="49"/>
  <c r="M104" i="49"/>
  <c r="O104" i="49"/>
  <c r="P104" i="49"/>
  <c r="Q104" i="49"/>
  <c r="R104" i="49"/>
  <c r="Y104" i="49"/>
  <c r="F105" i="49"/>
  <c r="H105" i="49"/>
  <c r="I105" i="49"/>
  <c r="J105" i="49"/>
  <c r="K105" i="49"/>
  <c r="I67" i="48"/>
  <c r="P67" i="48"/>
  <c r="H68" i="48"/>
  <c r="H103" i="48"/>
  <c r="J79" i="48"/>
  <c r="K80" i="48"/>
  <c r="O81" i="48"/>
  <c r="F103" i="48"/>
  <c r="K87" i="48"/>
  <c r="O100" i="48"/>
  <c r="P88" i="48"/>
  <c r="K89" i="48"/>
  <c r="M100" i="48"/>
  <c r="J90" i="48"/>
  <c r="R90" i="48"/>
  <c r="L100" i="48"/>
  <c r="K91" i="48"/>
  <c r="H92" i="48"/>
  <c r="O92" i="48"/>
  <c r="K100" i="48"/>
  <c r="J100" i="48"/>
  <c r="J95" i="48"/>
  <c r="I100" i="48"/>
  <c r="H96" i="48"/>
  <c r="P96" i="48"/>
  <c r="H100" i="48"/>
  <c r="H97" i="48"/>
  <c r="Y97" i="48"/>
  <c r="Y99" i="48"/>
  <c r="R99" i="48"/>
  <c r="H98" i="48"/>
  <c r="K98" i="48"/>
  <c r="P98" i="48"/>
  <c r="F99" i="48"/>
  <c r="P100" i="48"/>
  <c r="J45" i="48"/>
  <c r="N45" i="48"/>
  <c r="Q45" i="48"/>
  <c r="H65" i="48"/>
  <c r="R96" i="48"/>
  <c r="Q99" i="48"/>
  <c r="M76" i="48"/>
  <c r="O99" i="48"/>
  <c r="M99" i="48"/>
  <c r="J97" i="48"/>
  <c r="O97" i="48"/>
  <c r="Q97" i="48"/>
  <c r="F84" i="48"/>
  <c r="K99" i="48"/>
  <c r="J99" i="48"/>
  <c r="I98" i="48"/>
  <c r="P99" i="48"/>
  <c r="H99" i="48"/>
  <c r="Y98" i="48"/>
  <c r="Q98" i="48"/>
  <c r="O98" i="48"/>
  <c r="Y95" i="48"/>
  <c r="R95" i="48"/>
  <c r="Q95" i="48"/>
  <c r="I65" i="48"/>
  <c r="Q66" i="48"/>
  <c r="P76" i="48"/>
  <c r="L67" i="48"/>
  <c r="R67" i="48"/>
  <c r="K68" i="48"/>
  <c r="Y68" i="48"/>
  <c r="H79" i="48"/>
  <c r="R79" i="48"/>
  <c r="Q80" i="48"/>
  <c r="Q76" i="48"/>
  <c r="R81" i="48"/>
  <c r="P95" i="48"/>
  <c r="Q83" i="48"/>
  <c r="R76" i="48"/>
  <c r="H84" i="48"/>
  <c r="O95" i="48"/>
  <c r="M95" i="48"/>
  <c r="K95" i="48"/>
  <c r="F96" i="48"/>
  <c r="I96" i="48"/>
  <c r="O96" i="48"/>
  <c r="M97" i="48"/>
  <c r="I95" i="48"/>
  <c r="H95" i="48"/>
  <c r="H101" i="48" s="1"/>
  <c r="F95" i="48"/>
  <c r="K66" i="48"/>
  <c r="F67" i="48"/>
  <c r="P68" i="48"/>
  <c r="O79" i="48"/>
  <c r="R82" i="48"/>
  <c r="Y92" i="48"/>
  <c r="Y82" i="48"/>
  <c r="L84" i="48"/>
  <c r="R84" i="48"/>
  <c r="R92" i="48"/>
  <c r="M87" i="48"/>
  <c r="Y87" i="48"/>
  <c r="J88" i="48"/>
  <c r="O76" i="48"/>
  <c r="I89" i="48"/>
  <c r="Q89" i="48"/>
  <c r="Q92" i="48"/>
  <c r="H90" i="48"/>
  <c r="Y90" i="48"/>
  <c r="H91" i="48"/>
  <c r="P91" i="48"/>
  <c r="P92" i="48"/>
  <c r="L92" i="48"/>
  <c r="J96" i="48"/>
  <c r="K96" i="48"/>
  <c r="L96" i="48"/>
  <c r="Q96" i="48"/>
  <c r="Y96" i="48"/>
  <c r="M92" i="48"/>
  <c r="J92" i="48"/>
  <c r="I92" i="48"/>
  <c r="F97" i="48"/>
  <c r="K97" i="48"/>
  <c r="J98" i="48"/>
  <c r="M98" i="48"/>
  <c r="R98" i="48"/>
  <c r="L99" i="48"/>
  <c r="F100" i="48"/>
  <c r="Q100" i="48"/>
  <c r="F92" i="48"/>
  <c r="Y91" i="48"/>
  <c r="R91" i="48"/>
  <c r="Q91" i="48"/>
  <c r="O91" i="48"/>
  <c r="M106" i="48"/>
  <c r="K45" i="48"/>
  <c r="P45" i="48"/>
  <c r="T45" i="48"/>
  <c r="K65" i="48"/>
  <c r="O66" i="48"/>
  <c r="M91" i="48"/>
  <c r="H67" i="48"/>
  <c r="M68" i="48"/>
  <c r="L91" i="48"/>
  <c r="K79" i="48"/>
  <c r="J91" i="48"/>
  <c r="H80" i="48"/>
  <c r="O83" i="48"/>
  <c r="I91" i="48"/>
  <c r="K84" i="48"/>
  <c r="F91" i="48"/>
  <c r="J87" i="48"/>
  <c r="F88" i="48"/>
  <c r="L88" i="48"/>
  <c r="Q88" i="48"/>
  <c r="H89" i="48"/>
  <c r="O89" i="48"/>
  <c r="Y89" i="48"/>
  <c r="L90" i="48"/>
  <c r="Q90" i="48"/>
  <c r="K92" i="48"/>
  <c r="L95" i="48"/>
  <c r="P90" i="48"/>
  <c r="M96" i="48"/>
  <c r="I97" i="48"/>
  <c r="L97" i="48"/>
  <c r="P97" i="48"/>
  <c r="R97" i="48"/>
  <c r="O90" i="48"/>
  <c r="M90" i="48"/>
  <c r="K90" i="48"/>
  <c r="F98" i="48"/>
  <c r="L98" i="48"/>
  <c r="I90" i="48"/>
  <c r="I99" i="48"/>
  <c r="R100" i="48"/>
  <c r="Y100" i="48"/>
  <c r="F90" i="48"/>
  <c r="R89" i="48"/>
  <c r="P89" i="48"/>
  <c r="I106" i="48"/>
  <c r="M89" i="48"/>
  <c r="L89" i="48"/>
  <c r="J89" i="48"/>
  <c r="F89" i="48"/>
  <c r="Y88" i="48"/>
  <c r="R88" i="48"/>
  <c r="O88" i="48"/>
  <c r="M88" i="48"/>
  <c r="K88" i="48"/>
  <c r="I88" i="48"/>
  <c r="H88" i="48"/>
  <c r="R87" i="48"/>
  <c r="Q87" i="48"/>
  <c r="P87" i="48"/>
  <c r="O87" i="48"/>
  <c r="L87" i="48"/>
  <c r="I87" i="48"/>
  <c r="H87" i="48"/>
  <c r="F87" i="48"/>
  <c r="Y84" i="48"/>
  <c r="P84" i="48"/>
  <c r="O84" i="48"/>
  <c r="M84" i="48"/>
  <c r="J84" i="48"/>
  <c r="Y83" i="48"/>
  <c r="R83" i="48"/>
  <c r="M83" i="48"/>
  <c r="K83" i="48"/>
  <c r="I83" i="48"/>
  <c r="F83" i="48"/>
  <c r="P82" i="48"/>
  <c r="M82" i="48"/>
  <c r="K82" i="48"/>
  <c r="I82" i="48"/>
  <c r="F82" i="48"/>
  <c r="Y81" i="48"/>
  <c r="Q81" i="48"/>
  <c r="M81" i="48"/>
  <c r="K81" i="48"/>
  <c r="I81" i="48"/>
  <c r="F81" i="48"/>
  <c r="Y80" i="48"/>
  <c r="P80" i="48"/>
  <c r="L80" i="48"/>
  <c r="I80" i="48"/>
  <c r="Q103" i="48"/>
  <c r="P103" i="48"/>
  <c r="O103" i="48"/>
  <c r="M103" i="48"/>
  <c r="L103" i="48"/>
  <c r="K103" i="48"/>
  <c r="Y61" i="48"/>
  <c r="J103" i="48"/>
  <c r="F80" i="48"/>
  <c r="Q79" i="48"/>
  <c r="L79" i="48"/>
  <c r="Y76" i="48"/>
  <c r="Q68" i="48"/>
  <c r="L68" i="48"/>
  <c r="Y62" i="48"/>
  <c r="M66" i="48"/>
  <c r="I68" i="48"/>
  <c r="Q67" i="48"/>
  <c r="Y66" i="48"/>
  <c r="Q84" i="48"/>
  <c r="I84" i="48"/>
  <c r="P83" i="48"/>
  <c r="F63" i="48"/>
  <c r="H63" i="48"/>
  <c r="I63" i="48"/>
  <c r="J63" i="48"/>
  <c r="K63" i="48"/>
  <c r="L63" i="48"/>
  <c r="M63" i="48"/>
  <c r="O63" i="48"/>
  <c r="P63" i="48"/>
  <c r="Q63" i="48"/>
  <c r="R63" i="48"/>
  <c r="L83" i="48"/>
  <c r="Y63" i="48"/>
  <c r="I103" i="48"/>
  <c r="J83" i="48"/>
  <c r="H83" i="48"/>
  <c r="Q82" i="48"/>
  <c r="O82" i="48"/>
  <c r="L82" i="48"/>
  <c r="J82" i="48"/>
  <c r="F64" i="48"/>
  <c r="H64" i="48"/>
  <c r="I64" i="48"/>
  <c r="J64" i="48"/>
  <c r="K64" i="48"/>
  <c r="L64" i="48"/>
  <c r="M64" i="48"/>
  <c r="O64" i="48"/>
  <c r="P64" i="48"/>
  <c r="Q64" i="48"/>
  <c r="R64" i="48"/>
  <c r="D45" i="48"/>
  <c r="E45" i="48"/>
  <c r="H82" i="48"/>
  <c r="K67" i="48"/>
  <c r="P81" i="48"/>
  <c r="O68" i="48"/>
  <c r="L81" i="48"/>
  <c r="F71" i="48"/>
  <c r="H71" i="48"/>
  <c r="I71" i="48"/>
  <c r="J71" i="48"/>
  <c r="K71" i="48"/>
  <c r="L71" i="48"/>
  <c r="M71" i="48"/>
  <c r="O71" i="48"/>
  <c r="P71" i="48"/>
  <c r="Q71" i="48"/>
  <c r="R71" i="48"/>
  <c r="J81" i="48"/>
  <c r="Y71" i="48"/>
  <c r="G45" i="48"/>
  <c r="H81" i="48"/>
  <c r="R80" i="48"/>
  <c r="O80" i="48"/>
  <c r="M80" i="48"/>
  <c r="J80" i="48"/>
  <c r="Y79" i="48"/>
  <c r="F72" i="48"/>
  <c r="H72" i="48"/>
  <c r="I72" i="48"/>
  <c r="J72" i="48"/>
  <c r="K72" i="48"/>
  <c r="L72" i="48"/>
  <c r="M72" i="48"/>
  <c r="O72" i="48"/>
  <c r="P72" i="48"/>
  <c r="Q72" i="48"/>
  <c r="R72" i="48"/>
  <c r="P79" i="48"/>
  <c r="Y72" i="48"/>
  <c r="I45" i="48"/>
  <c r="M79" i="48"/>
  <c r="I79" i="48"/>
  <c r="F79" i="48"/>
  <c r="R68" i="48"/>
  <c r="J68" i="48"/>
  <c r="F68" i="48"/>
  <c r="F73" i="48"/>
  <c r="H73" i="48"/>
  <c r="I73" i="48"/>
  <c r="J73" i="48"/>
  <c r="K73" i="48"/>
  <c r="L73" i="48"/>
  <c r="M73" i="48"/>
  <c r="O73" i="48"/>
  <c r="P73" i="48"/>
  <c r="Q73" i="48"/>
  <c r="R73" i="48"/>
  <c r="Y67" i="48"/>
  <c r="Y73" i="48"/>
  <c r="L45" i="48"/>
  <c r="O67" i="48"/>
  <c r="M67" i="48"/>
  <c r="J67" i="48"/>
  <c r="R66" i="48"/>
  <c r="P66" i="48"/>
  <c r="L66" i="48"/>
  <c r="F74" i="48"/>
  <c r="H74" i="48"/>
  <c r="I74" i="48"/>
  <c r="J74" i="48"/>
  <c r="K74" i="48"/>
  <c r="L74" i="48"/>
  <c r="M74" i="48"/>
  <c r="O74" i="48"/>
  <c r="P74" i="48"/>
  <c r="Q74" i="48"/>
  <c r="R74" i="48"/>
  <c r="J66" i="48"/>
  <c r="Y74" i="48"/>
  <c r="M45" i="48"/>
  <c r="I66" i="48"/>
  <c r="H66" i="48"/>
  <c r="F66" i="48"/>
  <c r="Y65" i="48"/>
  <c r="R65" i="48"/>
  <c r="Q65" i="48"/>
  <c r="F75" i="48"/>
  <c r="H75" i="48"/>
  <c r="I75" i="48"/>
  <c r="J75" i="48"/>
  <c r="K75" i="48"/>
  <c r="L75" i="48"/>
  <c r="M75" i="48"/>
  <c r="O75" i="48"/>
  <c r="P75" i="48"/>
  <c r="Q75" i="48"/>
  <c r="R75" i="48"/>
  <c r="P65" i="48"/>
  <c r="Y75" i="48"/>
  <c r="O45" i="48"/>
  <c r="O65" i="48"/>
  <c r="M65" i="48"/>
  <c r="L65" i="48"/>
  <c r="J65" i="48"/>
  <c r="F65" i="48"/>
  <c r="Y64" i="48"/>
  <c r="F76" i="48"/>
  <c r="H76" i="48"/>
  <c r="I76" i="48"/>
  <c r="J76" i="48"/>
  <c r="K76" i="48"/>
  <c r="L76" i="48"/>
  <c r="R103" i="48"/>
  <c r="Y103" i="48"/>
  <c r="F104" i="48"/>
  <c r="H104" i="48"/>
  <c r="I104" i="48"/>
  <c r="J104" i="48"/>
  <c r="K104" i="48"/>
  <c r="L104" i="48"/>
  <c r="M104" i="48"/>
  <c r="O104" i="48"/>
  <c r="P104" i="48"/>
  <c r="Q104" i="48"/>
  <c r="R104" i="48"/>
  <c r="Y104" i="48"/>
  <c r="F105" i="48"/>
  <c r="H105" i="48"/>
  <c r="I105" i="48"/>
  <c r="J105" i="48"/>
  <c r="K105" i="48"/>
  <c r="L105" i="48"/>
  <c r="M105" i="48"/>
  <c r="O105" i="48"/>
  <c r="P105" i="48"/>
  <c r="Q105" i="48"/>
  <c r="R105" i="48"/>
  <c r="Y105" i="48"/>
  <c r="F106" i="48"/>
  <c r="H106" i="48"/>
  <c r="J106" i="48"/>
  <c r="K106" i="48"/>
  <c r="L106" i="48"/>
  <c r="O106" i="48"/>
  <c r="P106" i="48"/>
  <c r="Q106" i="48"/>
  <c r="R106" i="48"/>
  <c r="Y106" i="48"/>
  <c r="F107" i="48"/>
  <c r="H107" i="48"/>
  <c r="I107" i="48"/>
  <c r="J107" i="48"/>
  <c r="K107" i="48"/>
  <c r="L107" i="48"/>
  <c r="M107" i="48"/>
  <c r="O107" i="48"/>
  <c r="P107" i="48"/>
  <c r="Q107" i="48"/>
  <c r="R107" i="48"/>
  <c r="Y107" i="48"/>
  <c r="F108" i="48"/>
  <c r="H108" i="48"/>
  <c r="I108" i="48"/>
  <c r="J108" i="48"/>
  <c r="K108" i="48"/>
  <c r="L108" i="48"/>
  <c r="M108" i="48"/>
  <c r="O108" i="48"/>
  <c r="P108" i="48"/>
  <c r="Q108" i="48"/>
  <c r="R108" i="48"/>
  <c r="Y108" i="48"/>
  <c r="F45" i="48"/>
  <c r="H45" i="48"/>
  <c r="Y76" i="22"/>
  <c r="Y74" i="22"/>
  <c r="Y81" i="22"/>
  <c r="Y90" i="22"/>
  <c r="Y89" i="22"/>
  <c r="F64" i="22"/>
  <c r="Y82" i="22"/>
  <c r="Y91" i="22"/>
  <c r="Y98" i="22"/>
  <c r="Y96" i="22"/>
  <c r="Y83" i="22"/>
  <c r="Y108" i="22"/>
  <c r="Y104" i="22"/>
  <c r="Y105" i="22"/>
  <c r="Y106" i="22"/>
  <c r="Y68" i="22"/>
  <c r="Y75" i="22"/>
  <c r="Y97" i="22"/>
  <c r="Y107" i="22"/>
  <c r="Y100" i="22"/>
  <c r="Y99" i="22"/>
  <c r="Y61" i="22"/>
  <c r="Y62" i="22"/>
  <c r="D45" i="22"/>
  <c r="D45" i="51"/>
  <c r="T45" i="51"/>
  <c r="I104" i="51"/>
  <c r="J104" i="51"/>
  <c r="K104" i="51"/>
  <c r="L104" i="51"/>
  <c r="M104" i="51"/>
  <c r="Y62" i="51"/>
  <c r="Q80" i="51"/>
  <c r="M81" i="51"/>
  <c r="J82" i="51"/>
  <c r="O82" i="51"/>
  <c r="F64" i="51"/>
  <c r="I64" i="51"/>
  <c r="K64" i="51"/>
  <c r="M64" i="51"/>
  <c r="O64" i="51"/>
  <c r="Q64" i="51"/>
  <c r="K83" i="51"/>
  <c r="J63" i="51"/>
  <c r="Y64" i="51"/>
  <c r="H80" i="51"/>
  <c r="R83" i="51"/>
  <c r="F81" i="51"/>
  <c r="R81" i="51"/>
  <c r="H88" i="51"/>
  <c r="J84" i="51"/>
  <c r="P84" i="51"/>
  <c r="Y84" i="51"/>
  <c r="K87" i="51"/>
  <c r="O87" i="51"/>
  <c r="J88" i="51"/>
  <c r="H65" i="51"/>
  <c r="J65" i="51"/>
  <c r="L65" i="51"/>
  <c r="M80" i="51"/>
  <c r="O65" i="51"/>
  <c r="P65" i="51"/>
  <c r="F83" i="51"/>
  <c r="O83" i="51"/>
  <c r="R65" i="51"/>
  <c r="M84" i="51"/>
  <c r="R84" i="51"/>
  <c r="Q88" i="51"/>
  <c r="L89" i="51"/>
  <c r="R89" i="51"/>
  <c r="H87" i="51"/>
  <c r="P87" i="51"/>
  <c r="F92" i="51"/>
  <c r="K92" i="51"/>
  <c r="O92" i="51"/>
  <c r="H95" i="51"/>
  <c r="L95" i="51"/>
  <c r="H96" i="51"/>
  <c r="I89" i="51"/>
  <c r="P89" i="51"/>
  <c r="K96" i="51"/>
  <c r="P91" i="51"/>
  <c r="F67" i="51"/>
  <c r="H67" i="51"/>
  <c r="J92" i="51"/>
  <c r="I67" i="51"/>
  <c r="J67" i="51"/>
  <c r="K67" i="51"/>
  <c r="L67" i="51"/>
  <c r="M67" i="51"/>
  <c r="O67" i="51"/>
  <c r="P97" i="51"/>
  <c r="E45" i="51"/>
  <c r="N45" i="51"/>
  <c r="P67" i="51"/>
  <c r="Q67" i="51"/>
  <c r="R67" i="51"/>
  <c r="O96" i="51"/>
  <c r="Y67" i="51"/>
  <c r="R96" i="51"/>
  <c r="Y96" i="51"/>
  <c r="F97" i="51"/>
  <c r="J97" i="51"/>
  <c r="M97" i="51"/>
  <c r="Q97" i="51"/>
  <c r="Y97" i="51"/>
  <c r="O104" i="51"/>
  <c r="Q104" i="51"/>
  <c r="F105" i="51"/>
  <c r="K63" i="51"/>
  <c r="I105" i="51"/>
  <c r="F80" i="51"/>
  <c r="L80" i="51"/>
  <c r="R80" i="51"/>
  <c r="K105" i="51"/>
  <c r="M105" i="51"/>
  <c r="F68" i="51"/>
  <c r="H68" i="51"/>
  <c r="K81" i="51"/>
  <c r="I68" i="51"/>
  <c r="J68" i="51"/>
  <c r="K68" i="51"/>
  <c r="L68" i="51"/>
  <c r="I82" i="51"/>
  <c r="M68" i="51"/>
  <c r="O68" i="51"/>
  <c r="P68" i="51"/>
  <c r="Q68" i="51"/>
  <c r="M83" i="51"/>
  <c r="Y83" i="51"/>
  <c r="R68" i="51"/>
  <c r="O105" i="51"/>
  <c r="Y68" i="51"/>
  <c r="Q105" i="51"/>
  <c r="F106" i="51"/>
  <c r="L88" i="51"/>
  <c r="M91" i="51"/>
  <c r="F45" i="51"/>
  <c r="I45" i="51"/>
  <c r="M45" i="51"/>
  <c r="I106" i="51"/>
  <c r="L106" i="51"/>
  <c r="P106" i="51"/>
  <c r="F107" i="51"/>
  <c r="H107" i="51"/>
  <c r="J107" i="51"/>
  <c r="L107" i="51"/>
  <c r="Q107" i="51"/>
  <c r="F108" i="51"/>
  <c r="I108" i="51"/>
  <c r="L108" i="51"/>
  <c r="Q108" i="51"/>
  <c r="R76" i="51"/>
  <c r="H71" i="51"/>
  <c r="I71" i="51"/>
  <c r="J71" i="51"/>
  <c r="K71" i="51"/>
  <c r="L71" i="51"/>
  <c r="M71" i="51"/>
  <c r="O71" i="51"/>
  <c r="P71" i="51"/>
  <c r="Q71" i="51"/>
  <c r="R71" i="51"/>
  <c r="Y71" i="51"/>
  <c r="F63" i="51"/>
  <c r="M63" i="51"/>
  <c r="F72" i="51"/>
  <c r="J80" i="51"/>
  <c r="P80" i="51"/>
  <c r="H72" i="51"/>
  <c r="I72" i="51"/>
  <c r="J72" i="51"/>
  <c r="K72" i="51"/>
  <c r="L72" i="51"/>
  <c r="L81" i="51"/>
  <c r="Q81" i="51"/>
  <c r="M72" i="51"/>
  <c r="O72" i="51"/>
  <c r="P72" i="51"/>
  <c r="F82" i="51"/>
  <c r="K82" i="51"/>
  <c r="P82" i="51"/>
  <c r="Q72" i="51"/>
  <c r="R72" i="51"/>
  <c r="Y72" i="51"/>
  <c r="F73" i="51"/>
  <c r="L83" i="51"/>
  <c r="Q83" i="51"/>
  <c r="H73" i="51"/>
  <c r="I73" i="51"/>
  <c r="J73" i="51"/>
  <c r="K73" i="51"/>
  <c r="L73" i="51"/>
  <c r="M73" i="51"/>
  <c r="F84" i="51"/>
  <c r="L84" i="51"/>
  <c r="O73" i="51"/>
  <c r="P73" i="51"/>
  <c r="Q73" i="51"/>
  <c r="R73" i="51"/>
  <c r="M87" i="51"/>
  <c r="Y87" i="51"/>
  <c r="Y73" i="51"/>
  <c r="F74" i="51"/>
  <c r="H74" i="51"/>
  <c r="F88" i="51"/>
  <c r="M88" i="51"/>
  <c r="R88" i="51"/>
  <c r="K89" i="51"/>
  <c r="I74" i="51"/>
  <c r="J74" i="51"/>
  <c r="K74" i="51"/>
  <c r="L91" i="51"/>
  <c r="Q91" i="51"/>
  <c r="L74" i="51"/>
  <c r="L92" i="51"/>
  <c r="Q92" i="51"/>
  <c r="M74" i="51"/>
  <c r="O74" i="51"/>
  <c r="P74" i="51"/>
  <c r="Q74" i="51"/>
  <c r="R74" i="51"/>
  <c r="Y74" i="51"/>
  <c r="J95" i="51"/>
  <c r="M95" i="51"/>
  <c r="P95" i="51"/>
  <c r="Q95" i="51"/>
  <c r="F75" i="51"/>
  <c r="Y95" i="51"/>
  <c r="H75" i="51"/>
  <c r="I75" i="51"/>
  <c r="J75" i="51"/>
  <c r="K75" i="51"/>
  <c r="L75" i="51"/>
  <c r="M75" i="51"/>
  <c r="J96" i="51"/>
  <c r="M96" i="51"/>
  <c r="P96" i="51"/>
  <c r="O75" i="51"/>
  <c r="I97" i="51"/>
  <c r="K97" i="51"/>
  <c r="O97" i="51"/>
  <c r="P75" i="51"/>
  <c r="Q75" i="51"/>
  <c r="R75" i="51"/>
  <c r="Y75" i="51"/>
  <c r="F76" i="51"/>
  <c r="P104" i="51"/>
  <c r="R104" i="51"/>
  <c r="Y104" i="51"/>
  <c r="H76" i="51"/>
  <c r="I76" i="51"/>
  <c r="J76" i="51"/>
  <c r="K76" i="51"/>
  <c r="H105" i="51"/>
  <c r="J105" i="51"/>
  <c r="L105" i="51"/>
  <c r="P105" i="51"/>
  <c r="R105" i="51"/>
  <c r="L76" i="51"/>
  <c r="Y105" i="51"/>
  <c r="M76" i="51"/>
  <c r="O76" i="51"/>
  <c r="P76" i="51"/>
  <c r="H106" i="51"/>
  <c r="J106" i="51"/>
  <c r="K106" i="51"/>
  <c r="M106" i="51"/>
  <c r="O106" i="51"/>
  <c r="Q106" i="51"/>
  <c r="R106" i="51"/>
  <c r="Q76" i="51"/>
  <c r="Y106" i="51"/>
  <c r="Y76" i="51"/>
  <c r="F79" i="51"/>
  <c r="H79" i="51"/>
  <c r="I79" i="51"/>
  <c r="J79" i="51"/>
  <c r="K79" i="51"/>
  <c r="L79" i="51"/>
  <c r="I107" i="51"/>
  <c r="K107" i="51"/>
  <c r="M107" i="51"/>
  <c r="O107" i="51"/>
  <c r="P107" i="51"/>
  <c r="R107" i="51"/>
  <c r="M79" i="51"/>
  <c r="Y107" i="51"/>
  <c r="O79" i="51"/>
  <c r="P79" i="51"/>
  <c r="Q79" i="51"/>
  <c r="R79" i="51"/>
  <c r="Y79" i="51"/>
  <c r="L45" i="51"/>
  <c r="Q45" i="51"/>
  <c r="K80" i="51"/>
  <c r="H81" i="51"/>
  <c r="P81" i="51"/>
  <c r="M82" i="51"/>
  <c r="H108" i="51"/>
  <c r="J108" i="51"/>
  <c r="K108" i="51"/>
  <c r="M108" i="51"/>
  <c r="O108" i="51"/>
  <c r="P108" i="51"/>
  <c r="R108" i="51"/>
  <c r="Y108" i="51"/>
  <c r="R82" i="51"/>
  <c r="I83" i="51"/>
  <c r="H84" i="51"/>
  <c r="O84" i="51"/>
  <c r="I87" i="51"/>
  <c r="R87" i="51"/>
  <c r="H45" i="51"/>
  <c r="J45" i="51"/>
  <c r="O45" i="51"/>
  <c r="P88" i="51"/>
  <c r="F89" i="51"/>
  <c r="F90" i="51"/>
  <c r="H90" i="51"/>
  <c r="I90" i="51"/>
  <c r="J90" i="51"/>
  <c r="K90" i="51"/>
  <c r="L90" i="51"/>
  <c r="M90" i="51"/>
  <c r="O90" i="51"/>
  <c r="P90" i="51"/>
  <c r="Q90" i="51"/>
  <c r="R90" i="51"/>
  <c r="Y90" i="51"/>
  <c r="F91" i="51"/>
  <c r="H91" i="51"/>
  <c r="I91" i="51"/>
  <c r="Y61" i="51"/>
  <c r="J91" i="51"/>
  <c r="K91" i="51"/>
  <c r="P45" i="51"/>
  <c r="I81" i="51"/>
  <c r="I63" i="51"/>
  <c r="O63" i="51"/>
  <c r="L82" i="51"/>
  <c r="Q82" i="51"/>
  <c r="H83" i="51"/>
  <c r="I80" i="51"/>
  <c r="O80" i="51"/>
  <c r="Y80" i="51"/>
  <c r="K84" i="51"/>
  <c r="Q84" i="51"/>
  <c r="J81" i="51"/>
  <c r="O81" i="51"/>
  <c r="Y81" i="51"/>
  <c r="F87" i="51"/>
  <c r="L87" i="51"/>
  <c r="Q87" i="51"/>
  <c r="K88" i="51"/>
  <c r="H82" i="51"/>
  <c r="Y82" i="51"/>
  <c r="Y88" i="51"/>
  <c r="J83" i="51"/>
  <c r="P83" i="51"/>
  <c r="I84" i="51"/>
  <c r="H89" i="51"/>
  <c r="J87" i="51"/>
  <c r="O89" i="51"/>
  <c r="Q89" i="51"/>
  <c r="R91" i="51"/>
  <c r="I88" i="51"/>
  <c r="O88" i="51"/>
  <c r="Y91" i="51"/>
  <c r="H92" i="51"/>
  <c r="M92" i="51"/>
  <c r="R92" i="51"/>
  <c r="J89" i="51"/>
  <c r="M89" i="51"/>
  <c r="Y92" i="51"/>
  <c r="Y89" i="51"/>
  <c r="F95" i="51"/>
  <c r="I95" i="51"/>
  <c r="K95" i="51"/>
  <c r="O95" i="51"/>
  <c r="O91" i="51"/>
  <c r="R95" i="51"/>
  <c r="F96" i="51"/>
  <c r="I96" i="51"/>
  <c r="L96" i="51"/>
  <c r="Q96" i="51"/>
  <c r="I92" i="51"/>
  <c r="P92" i="51"/>
  <c r="H97" i="51"/>
  <c r="L97" i="51"/>
  <c r="R97" i="51"/>
  <c r="F98" i="51"/>
  <c r="H98" i="51"/>
  <c r="I98" i="51"/>
  <c r="J98" i="51"/>
  <c r="K98" i="51"/>
  <c r="L98" i="51"/>
  <c r="M98" i="51"/>
  <c r="O98" i="51"/>
  <c r="P98" i="51"/>
  <c r="Q98" i="51"/>
  <c r="R98" i="51"/>
  <c r="P63" i="51"/>
  <c r="R63" i="51"/>
  <c r="Y63" i="51"/>
  <c r="Y98" i="51"/>
  <c r="F99" i="51"/>
  <c r="H99" i="51"/>
  <c r="I99" i="51"/>
  <c r="H64" i="51"/>
  <c r="J64" i="51"/>
  <c r="L64" i="51"/>
  <c r="P64" i="51"/>
  <c r="R64" i="51"/>
  <c r="J99" i="51"/>
  <c r="K99" i="51"/>
  <c r="L99" i="51"/>
  <c r="M99" i="51"/>
  <c r="O99" i="51"/>
  <c r="P99" i="51"/>
  <c r="F65" i="51"/>
  <c r="I65" i="51"/>
  <c r="K65" i="51"/>
  <c r="M65" i="51"/>
  <c r="Q65" i="51"/>
  <c r="Q99" i="51"/>
  <c r="Y65" i="51"/>
  <c r="F71" i="51"/>
  <c r="R99" i="51"/>
  <c r="Y99" i="51"/>
  <c r="F100" i="51"/>
  <c r="H100" i="51"/>
  <c r="I100" i="51"/>
  <c r="J100" i="51"/>
  <c r="K100" i="51"/>
  <c r="L100" i="51"/>
  <c r="M100" i="51"/>
  <c r="O100" i="51"/>
  <c r="P100" i="51"/>
  <c r="Q100" i="51"/>
  <c r="F66" i="51"/>
  <c r="H66" i="51"/>
  <c r="I66" i="51"/>
  <c r="J66" i="51"/>
  <c r="K66" i="51"/>
  <c r="L66" i="51"/>
  <c r="M66" i="51"/>
  <c r="O66" i="51"/>
  <c r="P66" i="51"/>
  <c r="Q66" i="51"/>
  <c r="R66" i="51"/>
  <c r="R100" i="51"/>
  <c r="Y66" i="51"/>
  <c r="Y100" i="51"/>
  <c r="F103" i="51"/>
  <c r="H103" i="51"/>
  <c r="G45" i="51"/>
  <c r="K45" i="51"/>
  <c r="I103" i="51"/>
  <c r="J103" i="51"/>
  <c r="K103" i="51"/>
  <c r="L103" i="51"/>
  <c r="M103" i="51"/>
  <c r="O103" i="51"/>
  <c r="P103" i="51"/>
  <c r="Q103" i="51"/>
  <c r="R103" i="51"/>
  <c r="Y103" i="51"/>
  <c r="F104" i="51"/>
  <c r="H104" i="51"/>
  <c r="H63" i="51"/>
  <c r="L63" i="51"/>
  <c r="Q63" i="51"/>
  <c r="H75" i="50"/>
  <c r="M73" i="50"/>
  <c r="M106" i="50"/>
  <c r="I103" i="50"/>
  <c r="F100" i="50"/>
  <c r="P96" i="50"/>
  <c r="H76" i="50"/>
  <c r="Q107" i="50"/>
  <c r="Q106" i="50"/>
  <c r="H103" i="50"/>
  <c r="R99" i="50"/>
  <c r="R96" i="50"/>
  <c r="Q73" i="50"/>
  <c r="I99" i="50"/>
  <c r="P97" i="50"/>
  <c r="L96" i="50"/>
  <c r="J75" i="50"/>
  <c r="P73" i="50"/>
  <c r="R107" i="50"/>
  <c r="J103" i="50"/>
  <c r="Q99" i="50"/>
  <c r="F98" i="50"/>
  <c r="L95" i="50"/>
  <c r="K108" i="50"/>
  <c r="F103" i="50"/>
  <c r="H98" i="50"/>
  <c r="I96" i="50"/>
  <c r="K74" i="50"/>
  <c r="J88" i="50"/>
  <c r="Q87" i="50"/>
  <c r="M87" i="50"/>
  <c r="J87" i="50"/>
  <c r="R84" i="50"/>
  <c r="J84" i="50"/>
  <c r="R83" i="50"/>
  <c r="M83" i="50"/>
  <c r="H83" i="50"/>
  <c r="I76" i="50"/>
  <c r="L74" i="50"/>
  <c r="O80" i="50"/>
  <c r="I80" i="50"/>
  <c r="O79" i="50"/>
  <c r="K79" i="50"/>
  <c r="O76" i="50"/>
  <c r="J76" i="50"/>
  <c r="F73" i="50"/>
  <c r="P66" i="50"/>
  <c r="K66" i="50"/>
  <c r="H66" i="50"/>
  <c r="Q65" i="50"/>
  <c r="L65" i="50"/>
  <c r="H65" i="50"/>
  <c r="Q64" i="50"/>
  <c r="L64" i="50"/>
  <c r="I64" i="50"/>
  <c r="F64" i="50"/>
  <c r="P63" i="50"/>
  <c r="I63" i="50"/>
  <c r="K82" i="50"/>
  <c r="L82" i="50"/>
  <c r="M82" i="50"/>
  <c r="O82" i="50"/>
  <c r="P82" i="50"/>
  <c r="Q82" i="50"/>
  <c r="R82" i="50"/>
  <c r="Y82" i="50"/>
  <c r="M88" i="50"/>
  <c r="O88" i="50"/>
  <c r="P88" i="50"/>
  <c r="Q88" i="50"/>
  <c r="R88" i="50"/>
  <c r="Y88" i="50"/>
  <c r="F89" i="50"/>
  <c r="H89" i="50"/>
  <c r="I89" i="50"/>
  <c r="J89" i="50"/>
  <c r="K89" i="50"/>
  <c r="L89" i="50"/>
  <c r="M89" i="50"/>
  <c r="O89" i="50"/>
  <c r="P89" i="50"/>
  <c r="Q89" i="50"/>
  <c r="R89" i="50"/>
  <c r="Y89" i="50"/>
  <c r="F90" i="50"/>
  <c r="H90" i="50"/>
  <c r="O107" i="50"/>
  <c r="F106" i="50"/>
  <c r="M103" i="50"/>
  <c r="P99" i="50"/>
  <c r="M98" i="50"/>
  <c r="K97" i="50"/>
  <c r="Q95" i="50"/>
  <c r="Q74" i="50"/>
  <c r="H108" i="50"/>
  <c r="R106" i="50"/>
  <c r="O103" i="50"/>
  <c r="M97" i="50"/>
  <c r="H95" i="50"/>
  <c r="I74" i="50"/>
  <c r="J107" i="50"/>
  <c r="L103" i="50"/>
  <c r="L99" i="50"/>
  <c r="M95" i="50"/>
  <c r="L73" i="50"/>
  <c r="J97" i="50"/>
  <c r="I95" i="50"/>
  <c r="P74" i="50"/>
  <c r="L108" i="50"/>
  <c r="Q103" i="50"/>
  <c r="H100" i="50"/>
  <c r="L97" i="50"/>
  <c r="F95" i="50"/>
  <c r="H107" i="50"/>
  <c r="K103" i="50"/>
  <c r="O99" i="50"/>
  <c r="I97" i="50"/>
  <c r="R75" i="50"/>
  <c r="M72" i="50"/>
  <c r="K88" i="50"/>
  <c r="R87" i="50"/>
  <c r="M84" i="50"/>
  <c r="H84" i="50"/>
  <c r="Q83" i="50"/>
  <c r="M75" i="50"/>
  <c r="J72" i="50"/>
  <c r="P80" i="50"/>
  <c r="K80" i="50"/>
  <c r="F80" i="50"/>
  <c r="P79" i="50"/>
  <c r="L79" i="50"/>
  <c r="H79" i="50"/>
  <c r="Q76" i="50"/>
  <c r="L76" i="50"/>
  <c r="F74" i="50"/>
  <c r="R66" i="50"/>
  <c r="M66" i="50"/>
  <c r="O65" i="50"/>
  <c r="J65" i="50"/>
  <c r="M64" i="50"/>
  <c r="Q63" i="50"/>
  <c r="M63" i="50"/>
  <c r="F63" i="50"/>
  <c r="J90" i="50"/>
  <c r="I68" i="50"/>
  <c r="J108" i="50"/>
  <c r="Q108" i="50"/>
  <c r="Y108" i="50"/>
  <c r="R90" i="50"/>
  <c r="J91" i="50"/>
  <c r="O91" i="50"/>
  <c r="F92" i="50"/>
  <c r="K92" i="50"/>
  <c r="P92" i="50"/>
  <c r="Y92" i="50"/>
  <c r="J104" i="50"/>
  <c r="M104" i="50"/>
  <c r="D45" i="50"/>
  <c r="H45" i="50"/>
  <c r="M45" i="50"/>
  <c r="Q104" i="50"/>
  <c r="J67" i="50"/>
  <c r="M67" i="50"/>
  <c r="Q67" i="50"/>
  <c r="H105" i="50"/>
  <c r="L105" i="50"/>
  <c r="M92" i="50"/>
  <c r="M68" i="50"/>
  <c r="Q68" i="50"/>
  <c r="Y68" i="50"/>
  <c r="I71" i="50"/>
  <c r="M71" i="50"/>
  <c r="Q71" i="50"/>
  <c r="F72" i="50"/>
  <c r="H72" i="50"/>
  <c r="F81" i="50"/>
  <c r="I81" i="50"/>
  <c r="J81" i="50"/>
  <c r="K81" i="50"/>
  <c r="L81" i="50"/>
  <c r="M81" i="50"/>
  <c r="O81" i="50"/>
  <c r="P81" i="50"/>
  <c r="Q81" i="50"/>
  <c r="R81" i="50"/>
  <c r="Y81" i="50"/>
  <c r="F82" i="50"/>
  <c r="H82" i="50"/>
  <c r="I82" i="50"/>
  <c r="J82" i="50"/>
  <c r="J106" i="50"/>
  <c r="R103" i="50"/>
  <c r="J100" i="50"/>
  <c r="J99" i="50"/>
  <c r="R97" i="50"/>
  <c r="M96" i="50"/>
  <c r="K95" i="50"/>
  <c r="M74" i="50"/>
  <c r="Q72" i="50"/>
  <c r="M107" i="50"/>
  <c r="I106" i="50"/>
  <c r="M99" i="50"/>
  <c r="J98" i="50"/>
  <c r="O95" i="50"/>
  <c r="I75" i="50"/>
  <c r="F107" i="50"/>
  <c r="R105" i="50"/>
  <c r="K100" i="50"/>
  <c r="F99" i="50"/>
  <c r="K96" i="50"/>
  <c r="J74" i="50"/>
  <c r="K98" i="50"/>
  <c r="F97" i="50"/>
  <c r="Q75" i="50"/>
  <c r="O72" i="50"/>
  <c r="I107" i="50"/>
  <c r="M100" i="50"/>
  <c r="L98" i="50"/>
  <c r="O96" i="50"/>
  <c r="K75" i="50"/>
  <c r="P107" i="50"/>
  <c r="H106" i="50"/>
  <c r="P100" i="50"/>
  <c r="H99" i="50"/>
  <c r="Q96" i="50"/>
  <c r="J73" i="50"/>
  <c r="I88" i="50"/>
  <c r="O87" i="50"/>
  <c r="K87" i="50"/>
  <c r="F87" i="50"/>
  <c r="P84" i="50"/>
  <c r="K84" i="50"/>
  <c r="F84" i="50"/>
  <c r="L83" i="50"/>
  <c r="I83" i="50"/>
  <c r="R74" i="50"/>
  <c r="P72" i="50"/>
  <c r="R80" i="50"/>
  <c r="M80" i="50"/>
  <c r="J80" i="50"/>
  <c r="Q79" i="50"/>
  <c r="J79" i="50"/>
  <c r="F79" i="50"/>
  <c r="P76" i="50"/>
  <c r="K76" i="50"/>
  <c r="O73" i="50"/>
  <c r="Q66" i="50"/>
  <c r="L66" i="50"/>
  <c r="I66" i="50"/>
  <c r="R65" i="50"/>
  <c r="M65" i="50"/>
  <c r="I65" i="50"/>
  <c r="R64" i="50"/>
  <c r="O64" i="50"/>
  <c r="J64" i="50"/>
  <c r="L63" i="50"/>
  <c r="J63" i="50"/>
  <c r="I90" i="50"/>
  <c r="L90" i="50"/>
  <c r="I108" i="50"/>
  <c r="O108" i="50"/>
  <c r="M90" i="50"/>
  <c r="Q90" i="50"/>
  <c r="I91" i="50"/>
  <c r="M91" i="50"/>
  <c r="R91" i="50"/>
  <c r="Y91" i="50"/>
  <c r="J92" i="50"/>
  <c r="O92" i="50"/>
  <c r="R92" i="50"/>
  <c r="I104" i="50"/>
  <c r="L104" i="50"/>
  <c r="E45" i="50"/>
  <c r="I45" i="50"/>
  <c r="N45" i="50"/>
  <c r="Q45" i="50"/>
  <c r="H67" i="50"/>
  <c r="K67" i="50"/>
  <c r="P67" i="50"/>
  <c r="F105" i="50"/>
  <c r="K105" i="50"/>
  <c r="H68" i="50"/>
  <c r="J68" i="50"/>
  <c r="O68" i="50"/>
  <c r="F71" i="50"/>
  <c r="K71" i="50"/>
  <c r="O71" i="50"/>
  <c r="Y71" i="50"/>
  <c r="O106" i="50"/>
  <c r="P105" i="50"/>
  <c r="Q100" i="50"/>
  <c r="F96" i="50"/>
  <c r="O75" i="50"/>
  <c r="H74" i="50"/>
  <c r="O105" i="50"/>
  <c r="L100" i="50"/>
  <c r="Q98" i="50"/>
  <c r="J96" i="50"/>
  <c r="O74" i="50"/>
  <c r="L106" i="50"/>
  <c r="I98" i="50"/>
  <c r="F75" i="50"/>
  <c r="I72" i="50"/>
  <c r="P95" i="50"/>
  <c r="R98" i="50"/>
  <c r="H97" i="50"/>
  <c r="R95" i="50"/>
  <c r="L72" i="50"/>
  <c r="K106" i="50"/>
  <c r="P103" i="50"/>
  <c r="O98" i="50"/>
  <c r="L75" i="50"/>
  <c r="L88" i="50"/>
  <c r="F88" i="50"/>
  <c r="L87" i="50"/>
  <c r="H87" i="50"/>
  <c r="O84" i="50"/>
  <c r="I84" i="50"/>
  <c r="P83" i="50"/>
  <c r="K83" i="50"/>
  <c r="O90" i="50"/>
  <c r="F91" i="50"/>
  <c r="K91" i="50"/>
  <c r="P91" i="50"/>
  <c r="I92" i="50"/>
  <c r="Q92" i="50"/>
  <c r="H104" i="50"/>
  <c r="K104" i="50"/>
  <c r="P104" i="50"/>
  <c r="F45" i="50"/>
  <c r="J45" i="50"/>
  <c r="L45" i="50"/>
  <c r="O45" i="50"/>
  <c r="T45" i="50"/>
  <c r="I67" i="50"/>
  <c r="O67" i="50"/>
  <c r="R104" i="50"/>
  <c r="Y104" i="50"/>
  <c r="I105" i="50"/>
  <c r="M105" i="50"/>
  <c r="L68" i="50"/>
  <c r="R68" i="50"/>
  <c r="H71" i="50"/>
  <c r="L71" i="50"/>
  <c r="P71" i="50"/>
  <c r="L107" i="50"/>
  <c r="O100" i="50"/>
  <c r="P98" i="50"/>
  <c r="F76" i="50"/>
  <c r="R72" i="50"/>
  <c r="K73" i="50"/>
  <c r="K107" i="50"/>
  <c r="R100" i="50"/>
  <c r="K99" i="50"/>
  <c r="Q97" i="50"/>
  <c r="H96" i="50"/>
  <c r="H73" i="50"/>
  <c r="P106" i="50"/>
  <c r="Q105" i="50"/>
  <c r="I100" i="50"/>
  <c r="O97" i="50"/>
  <c r="J95" i="50"/>
  <c r="R73" i="50"/>
  <c r="H88" i="50"/>
  <c r="P87" i="50"/>
  <c r="I87" i="50"/>
  <c r="Q84" i="50"/>
  <c r="L84" i="50"/>
  <c r="O83" i="50"/>
  <c r="J83" i="50"/>
  <c r="F83" i="50"/>
  <c r="P75" i="50"/>
  <c r="I73" i="50"/>
  <c r="Q80" i="50"/>
  <c r="L80" i="50"/>
  <c r="H80" i="50"/>
  <c r="R79" i="50"/>
  <c r="M79" i="50"/>
  <c r="I79" i="50"/>
  <c r="R76" i="50"/>
  <c r="M76" i="50"/>
  <c r="K72" i="50"/>
  <c r="O66" i="50"/>
  <c r="J66" i="50"/>
  <c r="F66" i="50"/>
  <c r="P65" i="50"/>
  <c r="K65" i="50"/>
  <c r="F65" i="50"/>
  <c r="P64" i="50"/>
  <c r="K64" i="50"/>
  <c r="H64" i="50"/>
  <c r="R63" i="50"/>
  <c r="O63" i="50"/>
  <c r="K63" i="50"/>
  <c r="H63" i="50"/>
  <c r="K90" i="50"/>
  <c r="F108" i="50"/>
  <c r="M108" i="50"/>
  <c r="R108" i="50"/>
  <c r="P90" i="50"/>
  <c r="Y90" i="50"/>
  <c r="H91" i="50"/>
  <c r="L91" i="50"/>
  <c r="Q91" i="50"/>
  <c r="H92" i="50"/>
  <c r="L92" i="50"/>
  <c r="H81" i="50"/>
  <c r="F104" i="50"/>
  <c r="P108" i="50"/>
  <c r="O104" i="50"/>
  <c r="G45" i="50"/>
  <c r="K45" i="50"/>
  <c r="P45" i="50"/>
  <c r="F67" i="50"/>
  <c r="L67" i="50"/>
  <c r="R67" i="50"/>
  <c r="Y67" i="50"/>
  <c r="J105" i="50"/>
  <c r="F68" i="50"/>
  <c r="K68" i="50"/>
  <c r="P68" i="50"/>
  <c r="J71" i="50"/>
  <c r="R71" i="50"/>
  <c r="Y62" i="50"/>
  <c r="Y63" i="50"/>
  <c r="Y66" i="50"/>
  <c r="Y72" i="50"/>
  <c r="Y73" i="50"/>
  <c r="Y64" i="50"/>
  <c r="Y75" i="50"/>
  <c r="Y76" i="50"/>
  <c r="Y79" i="50"/>
  <c r="Y80" i="50"/>
  <c r="Y83" i="50"/>
  <c r="Y84" i="50"/>
  <c r="Y87" i="50"/>
  <c r="Y96" i="50"/>
  <c r="Y97" i="50"/>
  <c r="Y98" i="50"/>
  <c r="Y99" i="50"/>
  <c r="Y100" i="50"/>
  <c r="Y103" i="50"/>
  <c r="Y105" i="50"/>
  <c r="Y106" i="50"/>
  <c r="Y107" i="50"/>
  <c r="Y61" i="50"/>
  <c r="Y65" i="50"/>
  <c r="Y74" i="50"/>
  <c r="Y95" i="50"/>
  <c r="V73" i="22"/>
  <c r="Z73" i="22" s="1"/>
  <c r="W73" i="22"/>
  <c r="V103" i="22"/>
  <c r="W103" i="22"/>
  <c r="W109" i="22" s="1"/>
  <c r="W95" i="22"/>
  <c r="W101" i="22" s="1"/>
  <c r="V95" i="22"/>
  <c r="V88" i="22"/>
  <c r="W88" i="22"/>
  <c r="V65" i="22"/>
  <c r="W65" i="22"/>
  <c r="V66" i="22"/>
  <c r="V87" i="22"/>
  <c r="W66" i="22"/>
  <c r="W87" i="22"/>
  <c r="W80" i="22"/>
  <c r="V80" i="22"/>
  <c r="V79" i="22"/>
  <c r="W79" i="22"/>
  <c r="V71" i="22"/>
  <c r="W71" i="22"/>
  <c r="V63" i="22"/>
  <c r="Y63" i="22" s="1"/>
  <c r="W63" i="22"/>
  <c r="V72" i="22"/>
  <c r="V64" i="22"/>
  <c r="W64" i="22"/>
  <c r="W72" i="22"/>
  <c r="AE67" i="22"/>
  <c r="AD67" i="22"/>
  <c r="AI67" i="22"/>
  <c r="Y67" i="22"/>
  <c r="AA67" i="22"/>
  <c r="AJ67" i="22"/>
  <c r="AH67" i="22"/>
  <c r="AK67" i="22"/>
  <c r="AC67" i="22"/>
  <c r="AL67" i="22"/>
  <c r="AF67" i="22"/>
  <c r="AG67" i="22"/>
  <c r="AB67" i="22"/>
  <c r="Z67" i="22"/>
  <c r="AB84" i="22"/>
  <c r="Y84" i="22"/>
  <c r="AA84" i="22"/>
  <c r="AI84" i="22"/>
  <c r="AC84" i="22"/>
  <c r="AJ84" i="22"/>
  <c r="AL84" i="22"/>
  <c r="Z84" i="22"/>
  <c r="AE84" i="22"/>
  <c r="AD84" i="22"/>
  <c r="AK84" i="22"/>
  <c r="AG84" i="22"/>
  <c r="AH84" i="22"/>
  <c r="AF84" i="22"/>
  <c r="AF92" i="22"/>
  <c r="AK92" i="22"/>
  <c r="Z92" i="22"/>
  <c r="AD92" i="22"/>
  <c r="AL92" i="22"/>
  <c r="AI92" i="22"/>
  <c r="AJ92" i="22"/>
  <c r="Y92" i="22"/>
  <c r="AB92" i="22"/>
  <c r="AA92" i="22"/>
  <c r="AH92" i="22"/>
  <c r="AG92" i="22"/>
  <c r="AE92" i="22"/>
  <c r="AC92" i="22"/>
  <c r="F23" i="22"/>
  <c r="I112" i="22"/>
  <c r="J112" i="22"/>
  <c r="G23" i="22"/>
  <c r="I23" i="22"/>
  <c r="L112" i="22"/>
  <c r="L113" i="22" s="1"/>
  <c r="J23" i="22"/>
  <c r="M112" i="22"/>
  <c r="G112" i="22"/>
  <c r="D23" i="22"/>
  <c r="H112" i="22"/>
  <c r="E23" i="22"/>
  <c r="K112" i="22"/>
  <c r="K113" i="22" s="1"/>
  <c r="H23" i="22"/>
  <c r="AC109" i="50" l="1"/>
  <c r="AC109" i="48"/>
  <c r="AC109" i="49"/>
  <c r="AC109" i="51"/>
  <c r="AB109" i="51"/>
  <c r="AB109" i="50"/>
  <c r="AB109" i="49"/>
  <c r="AB109" i="48"/>
  <c r="AA109" i="50"/>
  <c r="F93" i="48"/>
  <c r="AA109" i="48"/>
  <c r="AA109" i="51"/>
  <c r="L93" i="48"/>
  <c r="L138" i="48" s="1"/>
  <c r="I93" i="48"/>
  <c r="I138" i="48" s="1"/>
  <c r="AA109" i="49"/>
  <c r="Z109" i="48"/>
  <c r="Z109" i="51"/>
  <c r="Z109" i="49"/>
  <c r="L109" i="51"/>
  <c r="L140" i="51" s="1"/>
  <c r="M109" i="51"/>
  <c r="M140" i="51" s="1"/>
  <c r="Z109" i="50"/>
  <c r="M93" i="49"/>
  <c r="M138" i="49" s="1"/>
  <c r="J109" i="51"/>
  <c r="J140" i="51" s="1"/>
  <c r="K109" i="51"/>
  <c r="K140" i="51" s="1"/>
  <c r="I109" i="51"/>
  <c r="I140" i="51" s="1"/>
  <c r="L109" i="48"/>
  <c r="L140" i="48" s="1"/>
  <c r="K101" i="48"/>
  <c r="K139" i="48" s="1"/>
  <c r="M109" i="48"/>
  <c r="M140" i="48" s="1"/>
  <c r="K109" i="48"/>
  <c r="K140" i="48" s="1"/>
  <c r="J109" i="48"/>
  <c r="J140" i="48" s="1"/>
  <c r="K109" i="50"/>
  <c r="K140" i="50" s="1"/>
  <c r="M101" i="50"/>
  <c r="M139" i="50" s="1"/>
  <c r="F101" i="50"/>
  <c r="M109" i="50"/>
  <c r="M140" i="50" s="1"/>
  <c r="J69" i="50"/>
  <c r="J134" i="50" s="1"/>
  <c r="I109" i="48"/>
  <c r="I140" i="48" s="1"/>
  <c r="M85" i="48"/>
  <c r="M137" i="48" s="1"/>
  <c r="I85" i="48"/>
  <c r="I137" i="48" s="1"/>
  <c r="F85" i="48"/>
  <c r="F101" i="48"/>
  <c r="I101" i="48"/>
  <c r="I139" i="48" s="1"/>
  <c r="H101" i="49"/>
  <c r="H139" i="49" s="1"/>
  <c r="I101" i="49"/>
  <c r="I139" i="49" s="1"/>
  <c r="L101" i="49"/>
  <c r="L139" i="49" s="1"/>
  <c r="M101" i="49"/>
  <c r="M139" i="49" s="1"/>
  <c r="H109" i="48"/>
  <c r="H140" i="48" s="1"/>
  <c r="F109" i="48"/>
  <c r="F93" i="51"/>
  <c r="L93" i="51"/>
  <c r="L138" i="51" s="1"/>
  <c r="F77" i="51"/>
  <c r="H109" i="51"/>
  <c r="H140" i="51" s="1"/>
  <c r="O111" i="51"/>
  <c r="E121" i="51" s="1"/>
  <c r="F93" i="50"/>
  <c r="J85" i="50"/>
  <c r="J137" i="50" s="1"/>
  <c r="F85" i="50"/>
  <c r="L69" i="50"/>
  <c r="L134" i="50" s="1"/>
  <c r="I93" i="50"/>
  <c r="I138" i="50" s="1"/>
  <c r="I85" i="50"/>
  <c r="I137" i="50" s="1"/>
  <c r="K69" i="50"/>
  <c r="K134" i="50" s="1"/>
  <c r="H69" i="50"/>
  <c r="H134" i="50" s="1"/>
  <c r="G75" i="49"/>
  <c r="S75" i="49" s="1"/>
  <c r="N75" i="49"/>
  <c r="G97" i="49"/>
  <c r="S97" i="49" s="1"/>
  <c r="N97" i="49"/>
  <c r="G105" i="49"/>
  <c r="S105" i="49" s="1"/>
  <c r="N105" i="49"/>
  <c r="G106" i="49"/>
  <c r="S106" i="49" s="1"/>
  <c r="N106" i="49"/>
  <c r="N107" i="49"/>
  <c r="G107" i="49"/>
  <c r="S107" i="49" s="1"/>
  <c r="G83" i="49"/>
  <c r="S83" i="49" s="1"/>
  <c r="N83" i="49"/>
  <c r="N89" i="49"/>
  <c r="G89" i="49"/>
  <c r="S89" i="49" s="1"/>
  <c r="N76" i="49"/>
  <c r="G76" i="49"/>
  <c r="S76" i="49" s="1"/>
  <c r="G87" i="49"/>
  <c r="S87" i="49" s="1"/>
  <c r="N87" i="49"/>
  <c r="N93" i="49"/>
  <c r="N82" i="49"/>
  <c r="G82" i="49"/>
  <c r="S82" i="49" s="1"/>
  <c r="N88" i="49"/>
  <c r="G88" i="49"/>
  <c r="S88" i="49" s="1"/>
  <c r="N96" i="49"/>
  <c r="G96" i="49"/>
  <c r="S96" i="49" s="1"/>
  <c r="F93" i="49"/>
  <c r="N98" i="49"/>
  <c r="G98" i="49"/>
  <c r="S98" i="49" s="1"/>
  <c r="G99" i="49"/>
  <c r="S99" i="49" s="1"/>
  <c r="N99" i="49"/>
  <c r="G103" i="49"/>
  <c r="S103" i="49" s="1"/>
  <c r="N103" i="49"/>
  <c r="N109" i="49"/>
  <c r="G68" i="49"/>
  <c r="S68" i="49" s="1"/>
  <c r="N68" i="49"/>
  <c r="N71" i="49"/>
  <c r="G71" i="49"/>
  <c r="S71" i="49" s="1"/>
  <c r="N108" i="49"/>
  <c r="G108" i="49"/>
  <c r="S108" i="49" s="1"/>
  <c r="N81" i="49"/>
  <c r="G81" i="49"/>
  <c r="S81" i="49" s="1"/>
  <c r="N80" i="49"/>
  <c r="G80" i="49"/>
  <c r="S80" i="49" s="1"/>
  <c r="N85" i="49"/>
  <c r="G79" i="49"/>
  <c r="S79" i="49" s="1"/>
  <c r="N79" i="49"/>
  <c r="N74" i="49"/>
  <c r="G74" i="49"/>
  <c r="S74" i="49" s="1"/>
  <c r="N73" i="49"/>
  <c r="G73" i="49"/>
  <c r="S73" i="49" s="1"/>
  <c r="F69" i="49"/>
  <c r="N63" i="49"/>
  <c r="G63" i="49"/>
  <c r="S63" i="49" s="1"/>
  <c r="N69" i="49"/>
  <c r="N64" i="49"/>
  <c r="G64" i="49"/>
  <c r="S64" i="49" s="1"/>
  <c r="N65" i="49"/>
  <c r="G65" i="49"/>
  <c r="S65" i="49" s="1"/>
  <c r="N72" i="49"/>
  <c r="G72" i="49"/>
  <c r="S72" i="49" s="1"/>
  <c r="N66" i="49"/>
  <c r="G66" i="49"/>
  <c r="S66" i="49" s="1"/>
  <c r="N67" i="49"/>
  <c r="G67" i="49"/>
  <c r="S67" i="49" s="1"/>
  <c r="N84" i="49"/>
  <c r="G84" i="49"/>
  <c r="S84" i="49" s="1"/>
  <c r="N90" i="49"/>
  <c r="G90" i="49"/>
  <c r="S90" i="49" s="1"/>
  <c r="N91" i="49"/>
  <c r="G91" i="49"/>
  <c r="S91" i="49" s="1"/>
  <c r="G92" i="49"/>
  <c r="S92" i="49" s="1"/>
  <c r="N92" i="49"/>
  <c r="F101" i="49"/>
  <c r="G95" i="49"/>
  <c r="S95" i="49" s="1"/>
  <c r="N101" i="49"/>
  <c r="N95" i="49"/>
  <c r="G100" i="49"/>
  <c r="S100" i="49" s="1"/>
  <c r="N100" i="49"/>
  <c r="G104" i="49"/>
  <c r="S104" i="49" s="1"/>
  <c r="N104" i="49"/>
  <c r="G81" i="48"/>
  <c r="S81" i="48" s="1"/>
  <c r="N81" i="48"/>
  <c r="N100" i="48"/>
  <c r="G100" i="48"/>
  <c r="S100" i="48" s="1"/>
  <c r="G92" i="48"/>
  <c r="S92" i="48" s="1"/>
  <c r="N92" i="48"/>
  <c r="N99" i="48"/>
  <c r="G99" i="48"/>
  <c r="S99" i="48" s="1"/>
  <c r="G97" i="48"/>
  <c r="S97" i="48" s="1"/>
  <c r="N97" i="48"/>
  <c r="N98" i="48"/>
  <c r="G98" i="48"/>
  <c r="S98" i="48" s="1"/>
  <c r="N95" i="48"/>
  <c r="G95" i="48"/>
  <c r="S95" i="48" s="1"/>
  <c r="N101" i="48"/>
  <c r="N96" i="48"/>
  <c r="G96" i="48"/>
  <c r="S96" i="48" s="1"/>
  <c r="H139" i="48"/>
  <c r="N79" i="48"/>
  <c r="G79" i="48"/>
  <c r="S79" i="48" s="1"/>
  <c r="N85" i="48"/>
  <c r="N76" i="48"/>
  <c r="G76" i="48"/>
  <c r="S76" i="48" s="1"/>
  <c r="G91" i="48"/>
  <c r="S91" i="48" s="1"/>
  <c r="N91" i="48"/>
  <c r="N66" i="48"/>
  <c r="G66" i="48"/>
  <c r="S66" i="48" s="1"/>
  <c r="G83" i="48"/>
  <c r="S83" i="48" s="1"/>
  <c r="N83" i="48"/>
  <c r="N89" i="48"/>
  <c r="G89" i="48"/>
  <c r="S89" i="48" s="1"/>
  <c r="G90" i="48"/>
  <c r="S90" i="48" s="1"/>
  <c r="N90" i="48"/>
  <c r="N88" i="48"/>
  <c r="G88" i="48"/>
  <c r="S88" i="48" s="1"/>
  <c r="N87" i="48"/>
  <c r="G87" i="48"/>
  <c r="S87" i="48" s="1"/>
  <c r="N93" i="48"/>
  <c r="G84" i="48"/>
  <c r="S84" i="48" s="1"/>
  <c r="N84" i="48"/>
  <c r="G103" i="48"/>
  <c r="S103" i="48" s="1"/>
  <c r="N103" i="48"/>
  <c r="N109" i="48"/>
  <c r="F69" i="48"/>
  <c r="G63" i="48"/>
  <c r="S63" i="48" s="1"/>
  <c r="N63" i="48"/>
  <c r="N69" i="48"/>
  <c r="G82" i="48"/>
  <c r="S82" i="48" s="1"/>
  <c r="N82" i="48"/>
  <c r="G64" i="48"/>
  <c r="S64" i="48" s="1"/>
  <c r="N64" i="48"/>
  <c r="G68" i="48"/>
  <c r="S68" i="48" s="1"/>
  <c r="N68" i="48"/>
  <c r="F77" i="48"/>
  <c r="N71" i="48"/>
  <c r="G71" i="48"/>
  <c r="S71" i="48" s="1"/>
  <c r="G80" i="48"/>
  <c r="S80" i="48" s="1"/>
  <c r="N80" i="48"/>
  <c r="N72" i="48"/>
  <c r="G72" i="48"/>
  <c r="S72" i="48" s="1"/>
  <c r="G73" i="48"/>
  <c r="S73" i="48" s="1"/>
  <c r="N73" i="48"/>
  <c r="N67" i="48"/>
  <c r="G67" i="48"/>
  <c r="S67" i="48" s="1"/>
  <c r="N74" i="48"/>
  <c r="G74" i="48"/>
  <c r="S74" i="48" s="1"/>
  <c r="G75" i="48"/>
  <c r="S75" i="48" s="1"/>
  <c r="N75" i="48"/>
  <c r="G65" i="48"/>
  <c r="S65" i="48" s="1"/>
  <c r="N65" i="48"/>
  <c r="G104" i="48"/>
  <c r="S104" i="48" s="1"/>
  <c r="N104" i="48"/>
  <c r="N105" i="48"/>
  <c r="G105" i="48"/>
  <c r="S105" i="48" s="1"/>
  <c r="N106" i="48"/>
  <c r="G106" i="48"/>
  <c r="S106" i="48" s="1"/>
  <c r="G107" i="48"/>
  <c r="S107" i="48" s="1"/>
  <c r="N107" i="48"/>
  <c r="G108" i="48"/>
  <c r="S108" i="48" s="1"/>
  <c r="N108" i="48"/>
  <c r="N82" i="51"/>
  <c r="G82" i="51"/>
  <c r="S82" i="51" s="1"/>
  <c r="N64" i="51"/>
  <c r="G64" i="51"/>
  <c r="S64" i="51" s="1"/>
  <c r="N93" i="51"/>
  <c r="G87" i="51"/>
  <c r="S87" i="51" s="1"/>
  <c r="N87" i="51"/>
  <c r="G65" i="51"/>
  <c r="S65" i="51" s="1"/>
  <c r="N65" i="51"/>
  <c r="N83" i="51"/>
  <c r="G83" i="51"/>
  <c r="S83" i="51" s="1"/>
  <c r="G92" i="51"/>
  <c r="S92" i="51" s="1"/>
  <c r="N92" i="51"/>
  <c r="N67" i="51"/>
  <c r="G67" i="51"/>
  <c r="S67" i="51" s="1"/>
  <c r="N96" i="51"/>
  <c r="G96" i="51"/>
  <c r="S96" i="51" s="1"/>
  <c r="N104" i="51"/>
  <c r="G104" i="51"/>
  <c r="S104" i="51" s="1"/>
  <c r="N68" i="51"/>
  <c r="G68" i="51"/>
  <c r="S68" i="51" s="1"/>
  <c r="G105" i="51"/>
  <c r="S105" i="51" s="1"/>
  <c r="N105" i="51"/>
  <c r="N71" i="51"/>
  <c r="G71" i="51"/>
  <c r="S71" i="51" s="1"/>
  <c r="F69" i="51"/>
  <c r="N72" i="51"/>
  <c r="G72" i="51"/>
  <c r="S72" i="51" s="1"/>
  <c r="N73" i="51"/>
  <c r="G73" i="51"/>
  <c r="S73" i="51" s="1"/>
  <c r="N74" i="51"/>
  <c r="G74" i="51"/>
  <c r="S74" i="51" s="1"/>
  <c r="N75" i="51"/>
  <c r="G75" i="51"/>
  <c r="S75" i="51" s="1"/>
  <c r="G97" i="51"/>
  <c r="S97" i="51" s="1"/>
  <c r="N97" i="51"/>
  <c r="N76" i="51"/>
  <c r="G76" i="51"/>
  <c r="S76" i="51" s="1"/>
  <c r="N106" i="51"/>
  <c r="G106" i="51"/>
  <c r="S106" i="51" s="1"/>
  <c r="F85" i="51"/>
  <c r="G107" i="51"/>
  <c r="S107" i="51" s="1"/>
  <c r="N107" i="51"/>
  <c r="N79" i="51"/>
  <c r="G79" i="51"/>
  <c r="S79" i="51" s="1"/>
  <c r="N85" i="51"/>
  <c r="N108" i="51"/>
  <c r="G108" i="51"/>
  <c r="S108" i="51" s="1"/>
  <c r="N84" i="51"/>
  <c r="G84" i="51"/>
  <c r="S84" i="51" s="1"/>
  <c r="N90" i="51"/>
  <c r="G90" i="51"/>
  <c r="S90" i="51" s="1"/>
  <c r="G63" i="51"/>
  <c r="S63" i="51" s="1"/>
  <c r="N69" i="51"/>
  <c r="N63" i="51"/>
  <c r="N80" i="51"/>
  <c r="G80" i="51"/>
  <c r="S80" i="51" s="1"/>
  <c r="N81" i="51"/>
  <c r="G81" i="51"/>
  <c r="S81" i="51" s="1"/>
  <c r="N89" i="51"/>
  <c r="G89" i="51"/>
  <c r="S89" i="51" s="1"/>
  <c r="N88" i="51"/>
  <c r="G88" i="51"/>
  <c r="S88" i="51" s="1"/>
  <c r="F101" i="51"/>
  <c r="G95" i="51"/>
  <c r="S95" i="51" s="1"/>
  <c r="N95" i="51"/>
  <c r="N101" i="51"/>
  <c r="N91" i="51"/>
  <c r="G91" i="51"/>
  <c r="S91" i="51" s="1"/>
  <c r="N98" i="51"/>
  <c r="G98" i="51"/>
  <c r="S98" i="51" s="1"/>
  <c r="N99" i="51"/>
  <c r="G99" i="51"/>
  <c r="S99" i="51" s="1"/>
  <c r="N100" i="51"/>
  <c r="G100" i="51"/>
  <c r="S100" i="51" s="1"/>
  <c r="N66" i="51"/>
  <c r="G66" i="51"/>
  <c r="S66" i="51" s="1"/>
  <c r="F109" i="51"/>
  <c r="N103" i="51"/>
  <c r="G103" i="51"/>
  <c r="S103" i="51" s="1"/>
  <c r="N109" i="51"/>
  <c r="N80" i="50"/>
  <c r="G80" i="50"/>
  <c r="S80" i="50" s="1"/>
  <c r="N79" i="50"/>
  <c r="G79" i="50"/>
  <c r="S79" i="50" s="1"/>
  <c r="N85" i="50"/>
  <c r="N76" i="50"/>
  <c r="G76" i="50"/>
  <c r="S76" i="50" s="1"/>
  <c r="N82" i="50"/>
  <c r="G82" i="50"/>
  <c r="S82" i="50" s="1"/>
  <c r="N88" i="50"/>
  <c r="G88" i="50"/>
  <c r="S88" i="50" s="1"/>
  <c r="N89" i="50"/>
  <c r="G89" i="50"/>
  <c r="S89" i="50" s="1"/>
  <c r="G107" i="50"/>
  <c r="S107" i="50" s="1"/>
  <c r="N107" i="50"/>
  <c r="N103" i="50"/>
  <c r="N109" i="50"/>
  <c r="G103" i="50"/>
  <c r="S103" i="50" s="1"/>
  <c r="G99" i="50"/>
  <c r="S99" i="50" s="1"/>
  <c r="N99" i="50"/>
  <c r="N65" i="50"/>
  <c r="G65" i="50"/>
  <c r="S65" i="50" s="1"/>
  <c r="N91" i="50"/>
  <c r="G91" i="50"/>
  <c r="S91" i="50" s="1"/>
  <c r="N81" i="50"/>
  <c r="G81" i="50"/>
  <c r="S81" i="50" s="1"/>
  <c r="N101" i="50"/>
  <c r="G95" i="50"/>
  <c r="S95" i="50" s="1"/>
  <c r="N95" i="50"/>
  <c r="N72" i="50"/>
  <c r="G72" i="50"/>
  <c r="S72" i="50" s="1"/>
  <c r="G96" i="50"/>
  <c r="S96" i="50" s="1"/>
  <c r="N96" i="50"/>
  <c r="N87" i="50"/>
  <c r="G87" i="50"/>
  <c r="S87" i="50" s="1"/>
  <c r="N93" i="50"/>
  <c r="G73" i="50"/>
  <c r="S73" i="50" s="1"/>
  <c r="N73" i="50"/>
  <c r="N64" i="50"/>
  <c r="G64" i="50"/>
  <c r="S64" i="50" s="1"/>
  <c r="N108" i="50"/>
  <c r="G108" i="50"/>
  <c r="S108" i="50" s="1"/>
  <c r="N92" i="50"/>
  <c r="G92" i="50"/>
  <c r="S92" i="50" s="1"/>
  <c r="N68" i="50"/>
  <c r="G68" i="50"/>
  <c r="S68" i="50" s="1"/>
  <c r="F77" i="50"/>
  <c r="N71" i="50"/>
  <c r="G71" i="50"/>
  <c r="S71" i="50" s="1"/>
  <c r="N106" i="50"/>
  <c r="G106" i="50"/>
  <c r="S106" i="50" s="1"/>
  <c r="N75" i="50"/>
  <c r="G75" i="50"/>
  <c r="S75" i="50" s="1"/>
  <c r="N105" i="50"/>
  <c r="G105" i="50"/>
  <c r="S105" i="50" s="1"/>
  <c r="N74" i="50"/>
  <c r="G74" i="50"/>
  <c r="S74" i="50" s="1"/>
  <c r="G98" i="50"/>
  <c r="S98" i="50" s="1"/>
  <c r="N98" i="50"/>
  <c r="N84" i="50"/>
  <c r="G84" i="50"/>
  <c r="S84" i="50" s="1"/>
  <c r="N90" i="50"/>
  <c r="G90" i="50"/>
  <c r="S90" i="50" s="1"/>
  <c r="N67" i="50"/>
  <c r="G67" i="50"/>
  <c r="S67" i="50" s="1"/>
  <c r="G100" i="50"/>
  <c r="S100" i="50" s="1"/>
  <c r="N100" i="50"/>
  <c r="N97" i="50"/>
  <c r="G97" i="50"/>
  <c r="S97" i="50" s="1"/>
  <c r="N83" i="50"/>
  <c r="G83" i="50"/>
  <c r="S83" i="50" s="1"/>
  <c r="N66" i="50"/>
  <c r="G66" i="50"/>
  <c r="S66" i="50" s="1"/>
  <c r="N63" i="50"/>
  <c r="G63" i="50"/>
  <c r="N69" i="50"/>
  <c r="N104" i="50"/>
  <c r="G104" i="50"/>
  <c r="S104" i="50" s="1"/>
  <c r="L109" i="49"/>
  <c r="J93" i="49"/>
  <c r="H109" i="49"/>
  <c r="K109" i="49"/>
  <c r="M85" i="49"/>
  <c r="L85" i="49"/>
  <c r="K85" i="49"/>
  <c r="J85" i="49"/>
  <c r="I85" i="49"/>
  <c r="H85" i="49"/>
  <c r="F85" i="49"/>
  <c r="F77" i="49"/>
  <c r="M77" i="49"/>
  <c r="H69" i="49"/>
  <c r="I69" i="49"/>
  <c r="J69" i="49"/>
  <c r="K69" i="49"/>
  <c r="L69" i="49"/>
  <c r="M69" i="49"/>
  <c r="N77" i="49"/>
  <c r="Y109" i="49"/>
  <c r="L77" i="49"/>
  <c r="K77" i="49"/>
  <c r="J101" i="49"/>
  <c r="L77" i="48"/>
  <c r="M93" i="48"/>
  <c r="K85" i="48"/>
  <c r="J93" i="48"/>
  <c r="L101" i="48"/>
  <c r="H93" i="48"/>
  <c r="O111" i="48"/>
  <c r="E121" i="48" s="1"/>
  <c r="L85" i="48"/>
  <c r="H69" i="48"/>
  <c r="I69" i="48"/>
  <c r="J69" i="48"/>
  <c r="K69" i="48"/>
  <c r="L69" i="48"/>
  <c r="M69" i="48"/>
  <c r="N77" i="48"/>
  <c r="H77" i="48"/>
  <c r="J69" i="51"/>
  <c r="K93" i="51"/>
  <c r="H77" i="51"/>
  <c r="J77" i="51"/>
  <c r="L77" i="51"/>
  <c r="N77" i="51"/>
  <c r="K93" i="48"/>
  <c r="H85" i="48"/>
  <c r="K77" i="48"/>
  <c r="H93" i="51"/>
  <c r="H101" i="51"/>
  <c r="L101" i="51"/>
  <c r="K69" i="51"/>
  <c r="I77" i="51"/>
  <c r="K77" i="51"/>
  <c r="M77" i="51"/>
  <c r="M69" i="51"/>
  <c r="J93" i="51"/>
  <c r="I101" i="51"/>
  <c r="Y109" i="51"/>
  <c r="J77" i="48"/>
  <c r="M93" i="51"/>
  <c r="J101" i="51"/>
  <c r="M101" i="51"/>
  <c r="H85" i="51"/>
  <c r="I85" i="51"/>
  <c r="J85" i="51"/>
  <c r="K85" i="51"/>
  <c r="L85" i="51"/>
  <c r="M85" i="51"/>
  <c r="I93" i="51"/>
  <c r="I69" i="51"/>
  <c r="K101" i="51"/>
  <c r="J85" i="48"/>
  <c r="H69" i="51"/>
  <c r="L69" i="51"/>
  <c r="I109" i="50"/>
  <c r="H109" i="50"/>
  <c r="J109" i="50"/>
  <c r="L101" i="50"/>
  <c r="F109" i="50"/>
  <c r="M93" i="50"/>
  <c r="J93" i="50"/>
  <c r="K85" i="50"/>
  <c r="N77" i="50"/>
  <c r="I69" i="50"/>
  <c r="H101" i="50"/>
  <c r="L109" i="50"/>
  <c r="I101" i="50"/>
  <c r="I93" i="49"/>
  <c r="J77" i="49"/>
  <c r="K101" i="49"/>
  <c r="H93" i="49"/>
  <c r="I109" i="49"/>
  <c r="M101" i="48"/>
  <c r="Y109" i="48"/>
  <c r="L85" i="50"/>
  <c r="H85" i="50"/>
  <c r="M69" i="50"/>
  <c r="F69" i="50"/>
  <c r="I77" i="50"/>
  <c r="I135" i="50" s="1"/>
  <c r="M77" i="50"/>
  <c r="K101" i="50"/>
  <c r="K93" i="50"/>
  <c r="M109" i="49"/>
  <c r="I77" i="48"/>
  <c r="K77" i="50"/>
  <c r="O111" i="50"/>
  <c r="E121" i="50" s="1"/>
  <c r="L93" i="50"/>
  <c r="H93" i="50"/>
  <c r="H77" i="50"/>
  <c r="L77" i="50"/>
  <c r="J101" i="50"/>
  <c r="M85" i="50"/>
  <c r="J109" i="49"/>
  <c r="H77" i="49"/>
  <c r="O111" i="49"/>
  <c r="E121" i="49" s="1"/>
  <c r="M77" i="48"/>
  <c r="J77" i="50"/>
  <c r="Y109" i="50"/>
  <c r="I77" i="49"/>
  <c r="K93" i="49"/>
  <c r="L93" i="49"/>
  <c r="F109" i="49"/>
  <c r="J101" i="48"/>
  <c r="Y73" i="22"/>
  <c r="AA73" i="22"/>
  <c r="AF73" i="22"/>
  <c r="AH73" i="22"/>
  <c r="AI73" i="22"/>
  <c r="AL73" i="22"/>
  <c r="AE73" i="22"/>
  <c r="AK73" i="22"/>
  <c r="AG73" i="22"/>
  <c r="AJ73" i="22"/>
  <c r="AD73" i="22"/>
  <c r="AB73" i="22"/>
  <c r="AC73" i="22"/>
  <c r="AJ63" i="22"/>
  <c r="AA63" i="22"/>
  <c r="AA79" i="22"/>
  <c r="AB79" i="22"/>
  <c r="Z79" i="22"/>
  <c r="AA88" i="22"/>
  <c r="AB88" i="22"/>
  <c r="Z88" i="22"/>
  <c r="Y65" i="22"/>
  <c r="Z65" i="22"/>
  <c r="AA65" i="22"/>
  <c r="Y80" i="22"/>
  <c r="AB80" i="22"/>
  <c r="Z80" i="22"/>
  <c r="Z95" i="22"/>
  <c r="AB95" i="22"/>
  <c r="AA95" i="22"/>
  <c r="AB87" i="22"/>
  <c r="Z87" i="22"/>
  <c r="AI63" i="22"/>
  <c r="Z66" i="22"/>
  <c r="Y66" i="22"/>
  <c r="AB66" i="22"/>
  <c r="Z103" i="22"/>
  <c r="AB103" i="22"/>
  <c r="AB65" i="22"/>
  <c r="AD65" i="22"/>
  <c r="AK65" i="22"/>
  <c r="AE65" i="22"/>
  <c r="AI65" i="22"/>
  <c r="AC65" i="22"/>
  <c r="AL65" i="22"/>
  <c r="AJ65" i="22"/>
  <c r="AH65" i="22"/>
  <c r="AG65" i="22"/>
  <c r="AF65" i="22"/>
  <c r="AA66" i="22"/>
  <c r="AF66" i="22"/>
  <c r="AI66" i="22"/>
  <c r="AG66" i="22"/>
  <c r="AJ66" i="22"/>
  <c r="AH66" i="22"/>
  <c r="AK66" i="22"/>
  <c r="AL66" i="22"/>
  <c r="AE66" i="22"/>
  <c r="AC66" i="22"/>
  <c r="AD66" i="22"/>
  <c r="Y79" i="22"/>
  <c r="AL79" i="22"/>
  <c r="AJ79" i="22"/>
  <c r="AH79" i="22"/>
  <c r="AI79" i="22"/>
  <c r="AC79" i="22"/>
  <c r="AK79" i="22"/>
  <c r="AE79" i="22"/>
  <c r="AG79" i="22"/>
  <c r="AD79" i="22"/>
  <c r="AF79" i="22"/>
  <c r="AA80" i="22"/>
  <c r="AK80" i="22"/>
  <c r="AC80" i="22"/>
  <c r="AE80" i="22"/>
  <c r="AL80" i="22"/>
  <c r="AH80" i="22"/>
  <c r="AI80" i="22"/>
  <c r="AD80" i="22"/>
  <c r="AF80" i="22"/>
  <c r="AG80" i="22"/>
  <c r="AJ80" i="22"/>
  <c r="AE87" i="22"/>
  <c r="AD87" i="22"/>
  <c r="AC87" i="22"/>
  <c r="AF87" i="22"/>
  <c r="AL87" i="22"/>
  <c r="AK87" i="22"/>
  <c r="AJ87" i="22"/>
  <c r="AI87" i="22"/>
  <c r="AG87" i="22"/>
  <c r="AH87" i="22"/>
  <c r="Y88" i="22"/>
  <c r="AL88" i="22"/>
  <c r="AE88" i="22"/>
  <c r="AF88" i="22"/>
  <c r="AK88" i="22"/>
  <c r="AI88" i="22"/>
  <c r="AJ88" i="22"/>
  <c r="AC88" i="22"/>
  <c r="AD88" i="22"/>
  <c r="AH88" i="22"/>
  <c r="AG88" i="22"/>
  <c r="V93" i="22"/>
  <c r="W93" i="22"/>
  <c r="AF95" i="22"/>
  <c r="AC95" i="22"/>
  <c r="AD95" i="22"/>
  <c r="AE95" i="22"/>
  <c r="AG95" i="22"/>
  <c r="AK95" i="22"/>
  <c r="AI95" i="22"/>
  <c r="AH95" i="22"/>
  <c r="AL95" i="22"/>
  <c r="AJ95" i="22"/>
  <c r="AD103" i="22"/>
  <c r="AF103" i="22"/>
  <c r="AE103" i="22"/>
  <c r="AC103" i="22"/>
  <c r="AH103" i="22"/>
  <c r="AI103" i="22"/>
  <c r="AL103" i="22"/>
  <c r="AK103" i="22"/>
  <c r="AG103" i="22"/>
  <c r="AJ103" i="22"/>
  <c r="Y95" i="22"/>
  <c r="V101" i="22"/>
  <c r="AA103" i="22"/>
  <c r="V109" i="22"/>
  <c r="Y103" i="22"/>
  <c r="W85" i="22"/>
  <c r="Y87" i="22"/>
  <c r="AA87" i="22"/>
  <c r="V85" i="22"/>
  <c r="AA72" i="22"/>
  <c r="Y72" i="22"/>
  <c r="AA64" i="22"/>
  <c r="Y64" i="22"/>
  <c r="Z63" i="22"/>
  <c r="Z71" i="22"/>
  <c r="Y71" i="22"/>
  <c r="AH72" i="22"/>
  <c r="AE72" i="22"/>
  <c r="AB72" i="22"/>
  <c r="AK72" i="22"/>
  <c r="AC72" i="22"/>
  <c r="AI72" i="22"/>
  <c r="AF72" i="22"/>
  <c r="AG72" i="22"/>
  <c r="AL72" i="22"/>
  <c r="AJ72" i="22"/>
  <c r="AD71" i="22"/>
  <c r="AE71" i="22"/>
  <c r="AC71" i="22"/>
  <c r="AF71" i="22"/>
  <c r="AB71" i="22"/>
  <c r="AH71" i="22"/>
  <c r="AG71" i="22"/>
  <c r="AK71" i="22"/>
  <c r="AI71" i="22"/>
  <c r="AJ71" i="22"/>
  <c r="AL71" i="22"/>
  <c r="AH64" i="22"/>
  <c r="AL64" i="22"/>
  <c r="AF64" i="22"/>
  <c r="AG64" i="22"/>
  <c r="AE64" i="22"/>
  <c r="AK64" i="22"/>
  <c r="AI64" i="22"/>
  <c r="AB64" i="22"/>
  <c r="AJ64" i="22"/>
  <c r="AD64" i="22"/>
  <c r="AE63" i="22"/>
  <c r="AC63" i="22"/>
  <c r="AF63" i="22"/>
  <c r="AL63" i="22"/>
  <c r="AH63" i="22"/>
  <c r="AK63" i="22"/>
  <c r="AG63" i="22"/>
  <c r="AB63" i="22"/>
  <c r="AD63" i="22"/>
  <c r="W69" i="22"/>
  <c r="V69" i="22"/>
  <c r="W77" i="22"/>
  <c r="AC64" i="22"/>
  <c r="Z64" i="22"/>
  <c r="AD72" i="22"/>
  <c r="Z72" i="22"/>
  <c r="AA71" i="22"/>
  <c r="V77" i="22"/>
  <c r="W5" i="7"/>
  <c r="W4" i="7"/>
  <c r="W3" i="7"/>
  <c r="V3" i="7"/>
  <c r="AA8" i="7"/>
  <c r="Y8" i="7"/>
  <c r="X8" i="7"/>
  <c r="V8" i="7"/>
  <c r="Z8" i="7"/>
  <c r="W8" i="7"/>
  <c r="Z7" i="7"/>
  <c r="Y7" i="7"/>
  <c r="X7" i="7"/>
  <c r="V7" i="7"/>
  <c r="AA7" i="7"/>
  <c r="W7" i="7"/>
  <c r="Y6" i="7"/>
  <c r="V6" i="7"/>
  <c r="AA6" i="7"/>
  <c r="Z6" i="7"/>
  <c r="X6" i="7"/>
  <c r="W6" i="7"/>
  <c r="Z5" i="7"/>
  <c r="Y5" i="7"/>
  <c r="X5" i="7"/>
  <c r="V5" i="7"/>
  <c r="T5" i="7"/>
  <c r="Z4" i="7"/>
  <c r="Y4" i="7"/>
  <c r="X4" i="7"/>
  <c r="V4" i="7"/>
  <c r="AA4" i="7"/>
  <c r="T4" i="7"/>
  <c r="Y3" i="7"/>
  <c r="AA3" i="7"/>
  <c r="Z3" i="7"/>
  <c r="X3" i="7"/>
  <c r="F14" i="2"/>
  <c r="F13" i="2"/>
  <c r="F12" i="2"/>
  <c r="E14" i="2"/>
  <c r="E13" i="2"/>
  <c r="E12" i="2"/>
  <c r="F111" i="50" l="1"/>
  <c r="E122" i="50" s="1"/>
  <c r="G70" i="51"/>
  <c r="G77" i="51" s="1"/>
  <c r="S86" i="48"/>
  <c r="G70" i="49"/>
  <c r="G77" i="49" s="1"/>
  <c r="S102" i="51"/>
  <c r="S69" i="51"/>
  <c r="S70" i="50"/>
  <c r="S78" i="51"/>
  <c r="S94" i="51"/>
  <c r="S70" i="48"/>
  <c r="S69" i="49"/>
  <c r="S94" i="49"/>
  <c r="S69" i="48"/>
  <c r="G69" i="50"/>
  <c r="S63" i="50"/>
  <c r="S69" i="50" s="1"/>
  <c r="L140" i="49"/>
  <c r="J138" i="49"/>
  <c r="H140" i="49"/>
  <c r="K140" i="49"/>
  <c r="M137" i="49"/>
  <c r="L137" i="49"/>
  <c r="K137" i="49"/>
  <c r="J137" i="49"/>
  <c r="I137" i="49"/>
  <c r="H137" i="49"/>
  <c r="M135" i="49"/>
  <c r="H111" i="49"/>
  <c r="H136" i="49"/>
  <c r="H134" i="49"/>
  <c r="I136" i="49"/>
  <c r="I134" i="49"/>
  <c r="I111" i="49"/>
  <c r="J111" i="49"/>
  <c r="J126" i="49" s="1"/>
  <c r="J136" i="49"/>
  <c r="J134" i="49"/>
  <c r="K136" i="49"/>
  <c r="K134" i="49"/>
  <c r="K111" i="49"/>
  <c r="L136" i="49"/>
  <c r="L111" i="49"/>
  <c r="L134" i="49"/>
  <c r="M136" i="49"/>
  <c r="M134" i="49"/>
  <c r="M111" i="49"/>
  <c r="G135" i="49"/>
  <c r="L135" i="49"/>
  <c r="K135" i="49"/>
  <c r="K127" i="49"/>
  <c r="J139" i="49"/>
  <c r="J130" i="49"/>
  <c r="L135" i="48"/>
  <c r="M138" i="48"/>
  <c r="K137" i="48"/>
  <c r="J111" i="48"/>
  <c r="J127" i="48" s="1"/>
  <c r="J138" i="48"/>
  <c r="L139" i="48"/>
  <c r="H138" i="48"/>
  <c r="L137" i="48"/>
  <c r="H136" i="48"/>
  <c r="H134" i="48"/>
  <c r="H111" i="48"/>
  <c r="H126" i="48" s="1"/>
  <c r="I136" i="48"/>
  <c r="I134" i="48"/>
  <c r="I111" i="48"/>
  <c r="J134" i="48"/>
  <c r="J136" i="48"/>
  <c r="K136" i="48"/>
  <c r="K134" i="48"/>
  <c r="K111" i="48"/>
  <c r="L136" i="48"/>
  <c r="L134" i="48"/>
  <c r="L111" i="48"/>
  <c r="L126" i="48" s="1"/>
  <c r="M136" i="48"/>
  <c r="M134" i="48"/>
  <c r="M111" i="48"/>
  <c r="H135" i="48"/>
  <c r="H127" i="48"/>
  <c r="J134" i="51"/>
  <c r="J136" i="51"/>
  <c r="J111" i="51"/>
  <c r="K138" i="51"/>
  <c r="H135" i="51"/>
  <c r="J135" i="51"/>
  <c r="L135" i="51"/>
  <c r="G135" i="51"/>
  <c r="K138" i="48"/>
  <c r="H137" i="48"/>
  <c r="K135" i="48"/>
  <c r="H138" i="51"/>
  <c r="H139" i="51"/>
  <c r="L139" i="51"/>
  <c r="K134" i="51"/>
  <c r="K136" i="51"/>
  <c r="K111" i="51"/>
  <c r="I135" i="51"/>
  <c r="K135" i="51"/>
  <c r="M135" i="51"/>
  <c r="M136" i="51"/>
  <c r="M134" i="51"/>
  <c r="M111" i="51"/>
  <c r="M129" i="51" s="1"/>
  <c r="J138" i="51"/>
  <c r="I139" i="51"/>
  <c r="J135" i="48"/>
  <c r="M138" i="51"/>
  <c r="J139" i="51"/>
  <c r="M139" i="51"/>
  <c r="H137" i="51"/>
  <c r="I137" i="51"/>
  <c r="J137" i="51"/>
  <c r="K137" i="51"/>
  <c r="L137" i="51"/>
  <c r="M137" i="51"/>
  <c r="I138" i="51"/>
  <c r="I134" i="51"/>
  <c r="I111" i="51"/>
  <c r="I136" i="51"/>
  <c r="K139" i="51"/>
  <c r="J137" i="48"/>
  <c r="H136" i="51"/>
  <c r="H134" i="51"/>
  <c r="H111" i="51"/>
  <c r="L111" i="51"/>
  <c r="L126" i="51" s="1"/>
  <c r="L136" i="51"/>
  <c r="L134" i="51"/>
  <c r="I140" i="50"/>
  <c r="H140" i="50"/>
  <c r="J140" i="50"/>
  <c r="L139" i="50"/>
  <c r="M138" i="50"/>
  <c r="J138" i="50"/>
  <c r="K137" i="50"/>
  <c r="I136" i="50"/>
  <c r="I134" i="50"/>
  <c r="I111" i="50"/>
  <c r="H139" i="50"/>
  <c r="L140" i="50"/>
  <c r="I139" i="50"/>
  <c r="I138" i="49"/>
  <c r="J135" i="49"/>
  <c r="K139" i="49"/>
  <c r="H138" i="49"/>
  <c r="I140" i="49"/>
  <c r="M139" i="48"/>
  <c r="L137" i="50"/>
  <c r="H137" i="50"/>
  <c r="M136" i="50"/>
  <c r="M134" i="50"/>
  <c r="M111" i="50"/>
  <c r="M135" i="50"/>
  <c r="K139" i="50"/>
  <c r="K138" i="50"/>
  <c r="M140" i="49"/>
  <c r="I135" i="48"/>
  <c r="K135" i="50"/>
  <c r="L138" i="50"/>
  <c r="H138" i="50"/>
  <c r="H135" i="50"/>
  <c r="L135" i="50"/>
  <c r="J139" i="50"/>
  <c r="M137" i="50"/>
  <c r="J140" i="49"/>
  <c r="H135" i="49"/>
  <c r="M135" i="48"/>
  <c r="J135" i="50"/>
  <c r="I135" i="49"/>
  <c r="K138" i="49"/>
  <c r="L138" i="49"/>
  <c r="J139" i="48"/>
  <c r="G86" i="49"/>
  <c r="G93" i="49" s="1"/>
  <c r="S86" i="49"/>
  <c r="S102" i="49"/>
  <c r="G102" i="49"/>
  <c r="G109" i="49" s="1"/>
  <c r="S70" i="49"/>
  <c r="G78" i="49"/>
  <c r="G85" i="49" s="1"/>
  <c r="S78" i="49"/>
  <c r="F111" i="49"/>
  <c r="E122" i="49" s="1"/>
  <c r="G69" i="49"/>
  <c r="G94" i="49"/>
  <c r="G101" i="49" s="1"/>
  <c r="S94" i="48"/>
  <c r="G94" i="48"/>
  <c r="G101" i="48" s="1"/>
  <c r="S78" i="48"/>
  <c r="G78" i="48"/>
  <c r="G85" i="48" s="1"/>
  <c r="G86" i="48"/>
  <c r="G93" i="48" s="1"/>
  <c r="S102" i="48"/>
  <c r="G102" i="48"/>
  <c r="G109" i="48" s="1"/>
  <c r="F111" i="48"/>
  <c r="E122" i="48" s="1"/>
  <c r="G69" i="48"/>
  <c r="G86" i="51"/>
  <c r="G93" i="51" s="1"/>
  <c r="S86" i="51"/>
  <c r="S70" i="51"/>
  <c r="F111" i="51"/>
  <c r="E122" i="51" s="1"/>
  <c r="G94" i="51"/>
  <c r="G101" i="51" s="1"/>
  <c r="G102" i="50"/>
  <c r="G109" i="50" s="1"/>
  <c r="G94" i="50"/>
  <c r="G101" i="50" s="1"/>
  <c r="S86" i="50"/>
  <c r="G78" i="51"/>
  <c r="G85" i="51" s="1"/>
  <c r="G69" i="51"/>
  <c r="S102" i="50"/>
  <c r="G102" i="51"/>
  <c r="G109" i="51" s="1"/>
  <c r="S78" i="50"/>
  <c r="G78" i="50"/>
  <c r="G85" i="50" s="1"/>
  <c r="S94" i="50"/>
  <c r="G86" i="50"/>
  <c r="G93" i="50" s="1"/>
  <c r="G70" i="48"/>
  <c r="G77" i="48" s="1"/>
  <c r="G70" i="50"/>
  <c r="G77" i="50" s="1"/>
  <c r="K111" i="50"/>
  <c r="K136" i="50"/>
  <c r="H111" i="50"/>
  <c r="H136" i="50"/>
  <c r="L136" i="50"/>
  <c r="L111" i="50"/>
  <c r="J111" i="50"/>
  <c r="J136" i="50"/>
  <c r="Y109" i="22"/>
  <c r="AA109" i="22"/>
  <c r="AF109" i="22"/>
  <c r="AH109" i="22"/>
  <c r="AL109" i="22"/>
  <c r="AC109" i="22"/>
  <c r="W111" i="22"/>
  <c r="AJ109" i="22"/>
  <c r="AE109" i="22"/>
  <c r="V111" i="22"/>
  <c r="AI109" i="22"/>
  <c r="AG109" i="22"/>
  <c r="AK109" i="22"/>
  <c r="AB109" i="22"/>
  <c r="AD109" i="22"/>
  <c r="Z109" i="22"/>
  <c r="E51" i="22"/>
  <c r="E50" i="22"/>
  <c r="E52" i="22"/>
  <c r="E48" i="22"/>
  <c r="E49" i="22"/>
  <c r="E45" i="22"/>
  <c r="L47" i="22"/>
  <c r="L51" i="22"/>
  <c r="L49" i="22"/>
  <c r="L45" i="22"/>
  <c r="L52" i="22"/>
  <c r="L48" i="22"/>
  <c r="L46" i="22"/>
  <c r="L50" i="22"/>
  <c r="G51" i="22"/>
  <c r="G47" i="22"/>
  <c r="G49" i="22"/>
  <c r="G52" i="22"/>
  <c r="G50" i="22"/>
  <c r="G45" i="22"/>
  <c r="G48" i="22"/>
  <c r="G46" i="22"/>
  <c r="I51" i="22"/>
  <c r="I46" i="22"/>
  <c r="I45" i="22"/>
  <c r="I49" i="22"/>
  <c r="I47" i="22"/>
  <c r="I50" i="22"/>
  <c r="I52" i="22"/>
  <c r="I48" i="22"/>
  <c r="J49" i="22"/>
  <c r="J51" i="22"/>
  <c r="J46" i="22"/>
  <c r="J52" i="22"/>
  <c r="J50" i="22"/>
  <c r="J45" i="22"/>
  <c r="J48" i="22"/>
  <c r="J47" i="22"/>
  <c r="H49" i="22"/>
  <c r="H51" i="22"/>
  <c r="H52" i="22"/>
  <c r="H45" i="22"/>
  <c r="H50" i="22"/>
  <c r="H46" i="22"/>
  <c r="H47" i="22"/>
  <c r="H48" i="22"/>
  <c r="K50" i="22"/>
  <c r="K52" i="22"/>
  <c r="K46" i="22"/>
  <c r="K51" i="22"/>
  <c r="K45" i="22"/>
  <c r="K48" i="22"/>
  <c r="K47" i="22"/>
  <c r="K49" i="22"/>
  <c r="E47" i="22"/>
  <c r="E46" i="22"/>
  <c r="U5" i="7"/>
  <c r="N18" i="7"/>
  <c r="AF5" i="7" s="1"/>
  <c r="M18" i="7"/>
  <c r="AE5" i="7" s="1"/>
  <c r="L18" i="7"/>
  <c r="AD5" i="7" s="1"/>
  <c r="O18" i="7"/>
  <c r="AG5" i="7" s="1"/>
  <c r="U8" i="7"/>
  <c r="N36" i="7"/>
  <c r="AF8" i="7" s="1"/>
  <c r="L36" i="7"/>
  <c r="AD8" i="7" s="1"/>
  <c r="M36" i="7"/>
  <c r="AE8" i="7" s="1"/>
  <c r="O36" i="7"/>
  <c r="AG8" i="7" s="1"/>
  <c r="U7" i="7"/>
  <c r="M30" i="7"/>
  <c r="AE7" i="7" s="1"/>
  <c r="O30" i="7"/>
  <c r="AG7" i="7" s="1"/>
  <c r="N30" i="7"/>
  <c r="AF7" i="7" s="1"/>
  <c r="L30" i="7"/>
  <c r="AD7" i="7" s="1"/>
  <c r="U6" i="7"/>
  <c r="O24" i="7"/>
  <c r="AG6" i="7" s="1"/>
  <c r="N24" i="7"/>
  <c r="AF6" i="7" s="1"/>
  <c r="M24" i="7"/>
  <c r="AE6" i="7" s="1"/>
  <c r="L24" i="7"/>
  <c r="AD6" i="7" s="1"/>
  <c r="U4" i="7"/>
  <c r="O12" i="7"/>
  <c r="AG4" i="7" s="1"/>
  <c r="N12" i="7"/>
  <c r="AF4" i="7" s="1"/>
  <c r="M12" i="7"/>
  <c r="AE4" i="7" s="1"/>
  <c r="L12" i="7"/>
  <c r="AD4" i="7" s="1"/>
  <c r="C42" i="2"/>
  <c r="C41" i="2"/>
  <c r="C40" i="2"/>
  <c r="C39" i="2"/>
  <c r="B42" i="2"/>
  <c r="B41" i="2"/>
  <c r="B40" i="2"/>
  <c r="B39" i="2"/>
  <c r="B35" i="2"/>
  <c r="C38" i="2"/>
  <c r="C37" i="2"/>
  <c r="C36" i="2"/>
  <c r="C35" i="2"/>
  <c r="B38" i="2"/>
  <c r="B37" i="2"/>
  <c r="B36" i="2"/>
  <c r="B31" i="2"/>
  <c r="C34" i="2"/>
  <c r="C33" i="2"/>
  <c r="C32" i="2"/>
  <c r="C31" i="2"/>
  <c r="B34" i="2"/>
  <c r="B33" i="2"/>
  <c r="B32" i="2"/>
  <c r="B27" i="2"/>
  <c r="C30" i="2"/>
  <c r="B30" i="2"/>
  <c r="B29" i="2"/>
  <c r="C29" i="2"/>
  <c r="B28" i="2"/>
  <c r="C28" i="2"/>
  <c r="C27" i="2"/>
  <c r="B23" i="2"/>
  <c r="C26" i="2"/>
  <c r="B26" i="2"/>
  <c r="B25" i="2"/>
  <c r="C25" i="2"/>
  <c r="B24" i="2"/>
  <c r="C24" i="2"/>
  <c r="C23" i="2"/>
  <c r="B19" i="2"/>
  <c r="C22" i="2"/>
  <c r="B22" i="2"/>
  <c r="B21" i="2"/>
  <c r="C21" i="2"/>
  <c r="B20" i="2"/>
  <c r="C20" i="2"/>
  <c r="C19" i="2"/>
  <c r="B11" i="2"/>
  <c r="C18" i="2"/>
  <c r="B18" i="2"/>
  <c r="B17" i="2"/>
  <c r="C17" i="2"/>
  <c r="B16" i="2"/>
  <c r="C16" i="2"/>
  <c r="B15" i="2"/>
  <c r="C15" i="2"/>
  <c r="C14" i="2"/>
  <c r="B13" i="2"/>
  <c r="B14" i="2"/>
  <c r="C13" i="2"/>
  <c r="C12" i="2"/>
  <c r="B12" i="2"/>
  <c r="C11" i="2"/>
  <c r="L126" i="49" l="1"/>
  <c r="L127" i="49"/>
  <c r="S111" i="50"/>
  <c r="E152" i="50" s="1"/>
  <c r="H127" i="49"/>
  <c r="H126" i="49"/>
  <c r="L131" i="50"/>
  <c r="L129" i="50"/>
  <c r="L130" i="50"/>
  <c r="L128" i="50"/>
  <c r="J131" i="50"/>
  <c r="J129" i="50"/>
  <c r="H129" i="48"/>
  <c r="H128" i="48"/>
  <c r="I127" i="48"/>
  <c r="I126" i="48"/>
  <c r="K129" i="48"/>
  <c r="K127" i="48"/>
  <c r="K128" i="48"/>
  <c r="K126" i="48"/>
  <c r="M129" i="48"/>
  <c r="M126" i="48"/>
  <c r="J126" i="51"/>
  <c r="J127" i="51"/>
  <c r="J129" i="51"/>
  <c r="L127" i="48"/>
  <c r="L130" i="48"/>
  <c r="L128" i="48"/>
  <c r="K126" i="51"/>
  <c r="K127" i="51"/>
  <c r="I130" i="51"/>
  <c r="I127" i="51"/>
  <c r="I126" i="51"/>
  <c r="H128" i="51"/>
  <c r="H130" i="51"/>
  <c r="H127" i="51"/>
  <c r="H129" i="51"/>
  <c r="L128" i="51"/>
  <c r="L130" i="51"/>
  <c r="L127" i="51"/>
  <c r="I131" i="50"/>
  <c r="I126" i="50"/>
  <c r="I130" i="50"/>
  <c r="M128" i="50"/>
  <c r="M127" i="50"/>
  <c r="L126" i="50"/>
  <c r="L127" i="50"/>
  <c r="J130" i="50"/>
  <c r="J127" i="50"/>
  <c r="G134" i="50"/>
  <c r="G111" i="50"/>
  <c r="E151" i="50" s="1"/>
  <c r="G136" i="50"/>
  <c r="H130" i="49"/>
  <c r="E124" i="49"/>
  <c r="M129" i="49"/>
  <c r="M130" i="49"/>
  <c r="H130" i="48"/>
  <c r="H131" i="48"/>
  <c r="E124" i="48"/>
  <c r="I128" i="48"/>
  <c r="I131" i="48"/>
  <c r="I129" i="48"/>
  <c r="I130" i="48"/>
  <c r="K131" i="48"/>
  <c r="K130" i="48"/>
  <c r="L131" i="48"/>
  <c r="L129" i="48"/>
  <c r="M128" i="48"/>
  <c r="M131" i="48"/>
  <c r="H131" i="51"/>
  <c r="E124" i="51"/>
  <c r="H126" i="51"/>
  <c r="L131" i="51"/>
  <c r="L129" i="51"/>
  <c r="I129" i="50"/>
  <c r="I128" i="50"/>
  <c r="I127" i="50"/>
  <c r="M130" i="50"/>
  <c r="M131" i="50"/>
  <c r="G138" i="49"/>
  <c r="G140" i="49"/>
  <c r="G137" i="49"/>
  <c r="G111" i="49"/>
  <c r="E151" i="49" s="1"/>
  <c r="G136" i="49"/>
  <c r="G134" i="49"/>
  <c r="G139" i="49"/>
  <c r="G139" i="48"/>
  <c r="G137" i="48"/>
  <c r="G138" i="48"/>
  <c r="G140" i="48"/>
  <c r="G136" i="48"/>
  <c r="G134" i="48"/>
  <c r="G111" i="48"/>
  <c r="G138" i="51"/>
  <c r="G139" i="51"/>
  <c r="G140" i="50"/>
  <c r="G139" i="50"/>
  <c r="G137" i="51"/>
  <c r="G136" i="51"/>
  <c r="G134" i="51"/>
  <c r="G111" i="51"/>
  <c r="G131" i="51" s="1"/>
  <c r="G140" i="51"/>
  <c r="G137" i="50"/>
  <c r="G138" i="50"/>
  <c r="G135" i="48"/>
  <c r="G135" i="50"/>
  <c r="K126" i="50"/>
  <c r="K131" i="50"/>
  <c r="H126" i="50"/>
  <c r="E124" i="50"/>
  <c r="J128" i="50"/>
  <c r="J126" i="50"/>
  <c r="S111" i="49"/>
  <c r="E152" i="49" s="1"/>
  <c r="S111" i="51"/>
  <c r="E152" i="51" s="1"/>
  <c r="S111" i="48"/>
  <c r="E152" i="48" s="1"/>
  <c r="H129" i="49"/>
  <c r="H131" i="49"/>
  <c r="H128" i="49"/>
  <c r="I130" i="49"/>
  <c r="I127" i="49"/>
  <c r="I129" i="49"/>
  <c r="I126" i="49"/>
  <c r="I128" i="49"/>
  <c r="I131" i="49"/>
  <c r="J131" i="49"/>
  <c r="J127" i="49"/>
  <c r="J128" i="49"/>
  <c r="J129" i="49"/>
  <c r="K129" i="49"/>
  <c r="K130" i="49"/>
  <c r="K131" i="49"/>
  <c r="K126" i="49"/>
  <c r="K128" i="49"/>
  <c r="L130" i="49"/>
  <c r="L129" i="49"/>
  <c r="L128" i="49"/>
  <c r="L131" i="49"/>
  <c r="M131" i="49"/>
  <c r="M127" i="49"/>
  <c r="M126" i="49"/>
  <c r="M128" i="49"/>
  <c r="J131" i="48"/>
  <c r="J126" i="48"/>
  <c r="J130" i="48"/>
  <c r="J128" i="48"/>
  <c r="J129" i="48"/>
  <c r="M130" i="48"/>
  <c r="M127" i="48"/>
  <c r="J131" i="51"/>
  <c r="J130" i="51"/>
  <c r="J128" i="51"/>
  <c r="K131" i="51"/>
  <c r="K129" i="51"/>
  <c r="K130" i="51"/>
  <c r="K128" i="51"/>
  <c r="M131" i="51"/>
  <c r="M126" i="51"/>
  <c r="M130" i="51"/>
  <c r="M127" i="51"/>
  <c r="M128" i="51"/>
  <c r="I131" i="51"/>
  <c r="I128" i="51"/>
  <c r="I129" i="51"/>
  <c r="M129" i="50"/>
  <c r="M126" i="50"/>
  <c r="K130" i="50"/>
  <c r="K127" i="50"/>
  <c r="K129" i="50"/>
  <c r="K128" i="50"/>
  <c r="H129" i="50"/>
  <c r="H130" i="50"/>
  <c r="H127" i="50"/>
  <c r="H131" i="50"/>
  <c r="H128" i="50"/>
  <c r="M65" i="22"/>
  <c r="I91" i="22"/>
  <c r="M95" i="22"/>
  <c r="H82" i="22"/>
  <c r="J92" i="22"/>
  <c r="F67" i="22"/>
  <c r="M82" i="22"/>
  <c r="J91" i="22"/>
  <c r="H95" i="22"/>
  <c r="K65" i="22"/>
  <c r="K82" i="22"/>
  <c r="F97" i="22"/>
  <c r="F96" i="22"/>
  <c r="F99" i="22"/>
  <c r="F107" i="22"/>
  <c r="F100" i="22"/>
  <c r="F75" i="22"/>
  <c r="F98" i="22"/>
  <c r="F105" i="22"/>
  <c r="F108" i="22"/>
  <c r="F106" i="22"/>
  <c r="F104" i="22"/>
  <c r="F90" i="22"/>
  <c r="F83" i="22"/>
  <c r="F76" i="22"/>
  <c r="F84" i="22"/>
  <c r="F68" i="22"/>
  <c r="F91" i="22"/>
  <c r="F92" i="22"/>
  <c r="F82" i="22"/>
  <c r="F74" i="22"/>
  <c r="M67" i="22"/>
  <c r="M73" i="22"/>
  <c r="M97" i="22"/>
  <c r="M91" i="22"/>
  <c r="M81" i="22"/>
  <c r="M98" i="22"/>
  <c r="M99" i="22"/>
  <c r="M96" i="22"/>
  <c r="M108" i="22"/>
  <c r="M106" i="22"/>
  <c r="M104" i="22"/>
  <c r="M100" i="22"/>
  <c r="M92" i="22"/>
  <c r="M75" i="22"/>
  <c r="M84" i="22"/>
  <c r="M76" i="22"/>
  <c r="M105" i="22"/>
  <c r="M68" i="22"/>
  <c r="M107" i="22"/>
  <c r="M74" i="22"/>
  <c r="M90" i="22"/>
  <c r="M83" i="22"/>
  <c r="M89" i="22"/>
  <c r="H74" i="22"/>
  <c r="H91" i="22"/>
  <c r="H67" i="22"/>
  <c r="H76" i="22"/>
  <c r="H89" i="22"/>
  <c r="H81" i="22"/>
  <c r="H100" i="22"/>
  <c r="H99" i="22"/>
  <c r="H98" i="22"/>
  <c r="H97" i="22"/>
  <c r="H96" i="22"/>
  <c r="H108" i="22"/>
  <c r="H107" i="22"/>
  <c r="H68" i="22"/>
  <c r="H105" i="22"/>
  <c r="H73" i="22"/>
  <c r="H106" i="22"/>
  <c r="H104" i="22"/>
  <c r="H75" i="22"/>
  <c r="H92" i="22"/>
  <c r="H84" i="22"/>
  <c r="H90" i="22"/>
  <c r="J96" i="22"/>
  <c r="J106" i="22"/>
  <c r="J67" i="22"/>
  <c r="J97" i="22"/>
  <c r="J74" i="22"/>
  <c r="J75" i="22"/>
  <c r="J105" i="22"/>
  <c r="J76" i="22"/>
  <c r="J100" i="22"/>
  <c r="J107" i="22"/>
  <c r="J99" i="22"/>
  <c r="J98" i="22"/>
  <c r="J73" i="22"/>
  <c r="J68" i="22"/>
  <c r="J89" i="22"/>
  <c r="J104" i="22"/>
  <c r="J84" i="22"/>
  <c r="J82" i="22"/>
  <c r="J108" i="22"/>
  <c r="J81" i="22"/>
  <c r="J90" i="22"/>
  <c r="K90" i="22"/>
  <c r="K68" i="22"/>
  <c r="K108" i="22"/>
  <c r="K83" i="22"/>
  <c r="K81" i="22"/>
  <c r="K84" i="22"/>
  <c r="K100" i="22"/>
  <c r="K98" i="22"/>
  <c r="K96" i="22"/>
  <c r="K67" i="22"/>
  <c r="K92" i="22"/>
  <c r="K76" i="22"/>
  <c r="K99" i="22"/>
  <c r="K89" i="22"/>
  <c r="K75" i="22"/>
  <c r="K97" i="22"/>
  <c r="K74" i="22"/>
  <c r="K91" i="22"/>
  <c r="K73" i="22"/>
  <c r="K104" i="22"/>
  <c r="K105" i="22"/>
  <c r="K106" i="22"/>
  <c r="K107" i="22"/>
  <c r="I75" i="22"/>
  <c r="I81" i="22"/>
  <c r="I92" i="22"/>
  <c r="I84" i="22"/>
  <c r="I90" i="22"/>
  <c r="I73" i="22"/>
  <c r="I67" i="22"/>
  <c r="I104" i="22"/>
  <c r="I105" i="22"/>
  <c r="I63" i="22"/>
  <c r="I76" i="22"/>
  <c r="I89" i="22"/>
  <c r="I106" i="22"/>
  <c r="I107" i="22"/>
  <c r="I96" i="22"/>
  <c r="I97" i="22"/>
  <c r="I98" i="22"/>
  <c r="I99" i="22"/>
  <c r="I100" i="22"/>
  <c r="I74" i="22"/>
  <c r="I82" i="22"/>
  <c r="I68" i="22"/>
  <c r="I108" i="22"/>
  <c r="L105" i="22"/>
  <c r="L82" i="22"/>
  <c r="L75" i="22"/>
  <c r="L107" i="22"/>
  <c r="L89" i="22"/>
  <c r="L73" i="22"/>
  <c r="L68" i="22"/>
  <c r="L74" i="22"/>
  <c r="L81" i="22"/>
  <c r="L97" i="22"/>
  <c r="L90" i="22"/>
  <c r="L92" i="22"/>
  <c r="L67" i="22"/>
  <c r="L96" i="22"/>
  <c r="L104" i="22"/>
  <c r="L91" i="22"/>
  <c r="L106" i="22"/>
  <c r="L84" i="22"/>
  <c r="L108" i="22"/>
  <c r="L99" i="22"/>
  <c r="L76" i="22"/>
  <c r="L100" i="22"/>
  <c r="L98" i="22"/>
  <c r="N45" i="22"/>
  <c r="K88" i="22"/>
  <c r="K103" i="22"/>
  <c r="F103" i="22"/>
  <c r="F95" i="22"/>
  <c r="L88" i="22"/>
  <c r="L95" i="22"/>
  <c r="L103" i="22"/>
  <c r="I103" i="22"/>
  <c r="I95" i="22"/>
  <c r="I88" i="22"/>
  <c r="J88" i="22"/>
  <c r="J95" i="22"/>
  <c r="J103" i="22"/>
  <c r="M88" i="22"/>
  <c r="M103" i="22"/>
  <c r="K95" i="22"/>
  <c r="H79" i="22"/>
  <c r="H103" i="22"/>
  <c r="H88" i="22"/>
  <c r="L71" i="22"/>
  <c r="L80" i="22"/>
  <c r="L87" i="22"/>
  <c r="L66" i="22"/>
  <c r="I71" i="22"/>
  <c r="I87" i="22"/>
  <c r="I80" i="22"/>
  <c r="I66" i="22"/>
  <c r="M71" i="22"/>
  <c r="M87" i="22"/>
  <c r="M66" i="22"/>
  <c r="M80" i="22"/>
  <c r="J83" i="22"/>
  <c r="J65" i="22"/>
  <c r="L63" i="22"/>
  <c r="L79" i="22"/>
  <c r="I79" i="22"/>
  <c r="K71" i="22"/>
  <c r="K66" i="22"/>
  <c r="K87" i="22"/>
  <c r="K80" i="22"/>
  <c r="J63" i="22"/>
  <c r="J79" i="22"/>
  <c r="H71" i="22"/>
  <c r="H66" i="22"/>
  <c r="H80" i="22"/>
  <c r="M63" i="22"/>
  <c r="M79" i="22"/>
  <c r="F63" i="22"/>
  <c r="F79" i="22"/>
  <c r="H83" i="22"/>
  <c r="H65" i="22"/>
  <c r="F71" i="22"/>
  <c r="F66" i="22"/>
  <c r="F87" i="22"/>
  <c r="L83" i="22"/>
  <c r="L65" i="22"/>
  <c r="J71" i="22"/>
  <c r="J66" i="22"/>
  <c r="J87" i="22"/>
  <c r="J80" i="22"/>
  <c r="K63" i="22"/>
  <c r="K79" i="22"/>
  <c r="I83" i="22"/>
  <c r="I65" i="22"/>
  <c r="I72" i="22"/>
  <c r="I64" i="22"/>
  <c r="H64" i="22"/>
  <c r="H72" i="22"/>
  <c r="L72" i="22"/>
  <c r="L64" i="22"/>
  <c r="M64" i="22"/>
  <c r="M72" i="22"/>
  <c r="K64" i="22"/>
  <c r="K72" i="22"/>
  <c r="J64" i="22"/>
  <c r="J72" i="22"/>
  <c r="H87" i="22"/>
  <c r="H63" i="22"/>
  <c r="N49" i="22"/>
  <c r="N52" i="22"/>
  <c r="N50" i="22"/>
  <c r="N51" i="22"/>
  <c r="N46" i="22"/>
  <c r="N48" i="22"/>
  <c r="N47" i="22"/>
  <c r="P46" i="22"/>
  <c r="P50" i="22"/>
  <c r="P49" i="22"/>
  <c r="P47" i="22"/>
  <c r="P52" i="22"/>
  <c r="P51" i="22"/>
  <c r="P45" i="22"/>
  <c r="P48" i="22"/>
  <c r="F46" i="22"/>
  <c r="F52" i="22"/>
  <c r="F45" i="22"/>
  <c r="F47" i="22"/>
  <c r="F48" i="22"/>
  <c r="F51" i="22"/>
  <c r="F50" i="22"/>
  <c r="F49" i="22"/>
  <c r="O47" i="22"/>
  <c r="O48" i="22"/>
  <c r="O46" i="22"/>
  <c r="O49" i="22"/>
  <c r="O52" i="22"/>
  <c r="O50" i="22"/>
  <c r="O45" i="22"/>
  <c r="O51" i="22"/>
  <c r="Q47" i="22"/>
  <c r="Q50" i="22"/>
  <c r="Q45" i="22"/>
  <c r="Q52" i="22"/>
  <c r="Q48" i="22"/>
  <c r="Q49" i="22"/>
  <c r="Q51" i="22"/>
  <c r="Q46" i="22"/>
  <c r="F73" i="22"/>
  <c r="F89" i="22"/>
  <c r="F81" i="22"/>
  <c r="F65" i="22"/>
  <c r="F72" i="22"/>
  <c r="F80" i="22"/>
  <c r="F88" i="22"/>
  <c r="G126" i="51" l="1"/>
  <c r="E151" i="51"/>
  <c r="G127" i="48"/>
  <c r="E151" i="48"/>
  <c r="G126" i="49"/>
  <c r="G130" i="49"/>
  <c r="G131" i="50"/>
  <c r="G128" i="50"/>
  <c r="G129" i="50"/>
  <c r="G127" i="50"/>
  <c r="G128" i="51"/>
  <c r="G129" i="51"/>
  <c r="G130" i="51"/>
  <c r="G127" i="49"/>
  <c r="E123" i="49"/>
  <c r="E120" i="49" s="1"/>
  <c r="E123" i="48"/>
  <c r="E120" i="48" s="1"/>
  <c r="G126" i="48"/>
  <c r="G127" i="51"/>
  <c r="E123" i="51"/>
  <c r="E120" i="51" s="1"/>
  <c r="E123" i="50"/>
  <c r="E120" i="50" s="1"/>
  <c r="G126" i="50"/>
  <c r="G130" i="50"/>
  <c r="G129" i="49"/>
  <c r="G131" i="49"/>
  <c r="G128" i="49"/>
  <c r="G130" i="48"/>
  <c r="G128" i="48"/>
  <c r="G129" i="48"/>
  <c r="G131" i="48"/>
  <c r="O63" i="22"/>
  <c r="H101" i="22"/>
  <c r="M101" i="22"/>
  <c r="M139" i="22" s="1"/>
  <c r="K109" i="22"/>
  <c r="K140" i="22" s="1"/>
  <c r="F101" i="22"/>
  <c r="L101" i="22"/>
  <c r="L139" i="22" s="1"/>
  <c r="L109" i="22"/>
  <c r="L140" i="22" s="1"/>
  <c r="I109" i="22"/>
  <c r="I140" i="22" s="1"/>
  <c r="I101" i="22"/>
  <c r="I139" i="22" s="1"/>
  <c r="J101" i="22"/>
  <c r="J139" i="22" s="1"/>
  <c r="J109" i="22"/>
  <c r="J140" i="22" s="1"/>
  <c r="M109" i="22"/>
  <c r="M140" i="22" s="1"/>
  <c r="K101" i="22"/>
  <c r="K139" i="22" s="1"/>
  <c r="H109" i="22"/>
  <c r="H140" i="22" s="1"/>
  <c r="O95" i="22"/>
  <c r="O92" i="22"/>
  <c r="O64" i="22"/>
  <c r="N64" i="22" s="1"/>
  <c r="O65" i="22"/>
  <c r="Q65" i="22"/>
  <c r="R65" i="22"/>
  <c r="O100" i="22"/>
  <c r="O81" i="22"/>
  <c r="G81" i="22" s="1"/>
  <c r="S81" i="22" s="1"/>
  <c r="O98" i="22"/>
  <c r="O68" i="22"/>
  <c r="O75" i="22"/>
  <c r="O67" i="22"/>
  <c r="O96" i="22"/>
  <c r="G96" i="22" s="1"/>
  <c r="S96" i="22" s="1"/>
  <c r="O91" i="22"/>
  <c r="G91" i="22" s="1"/>
  <c r="S91" i="22" s="1"/>
  <c r="O90" i="22"/>
  <c r="G90" i="22" s="1"/>
  <c r="S90" i="22" s="1"/>
  <c r="O84" i="22"/>
  <c r="O74" i="22"/>
  <c r="G74" i="22" s="1"/>
  <c r="S74" i="22" s="1"/>
  <c r="O88" i="22"/>
  <c r="G88" i="22" s="1"/>
  <c r="O89" i="22"/>
  <c r="G89" i="22" s="1"/>
  <c r="S89" i="22" s="1"/>
  <c r="O104" i="22"/>
  <c r="G104" i="22" s="1"/>
  <c r="S104" i="22" s="1"/>
  <c r="O106" i="22"/>
  <c r="O82" i="22"/>
  <c r="G82" i="22" s="1"/>
  <c r="S82" i="22" s="1"/>
  <c r="O108" i="22"/>
  <c r="O83" i="22"/>
  <c r="O105" i="22"/>
  <c r="O97" i="22"/>
  <c r="O99" i="22"/>
  <c r="O103" i="22"/>
  <c r="G103" i="22" s="1"/>
  <c r="O76" i="22"/>
  <c r="O107" i="22"/>
  <c r="O73" i="22"/>
  <c r="G73" i="22" s="1"/>
  <c r="S73" i="22" s="1"/>
  <c r="Q99" i="22"/>
  <c r="Q83" i="22"/>
  <c r="Q104" i="22"/>
  <c r="Q92" i="22"/>
  <c r="Q89" i="22"/>
  <c r="Q81" i="22"/>
  <c r="Q84" i="22"/>
  <c r="Q91" i="22"/>
  <c r="Q90" i="22"/>
  <c r="Q76" i="22"/>
  <c r="Q74" i="22"/>
  <c r="Q73" i="22"/>
  <c r="Q67" i="22"/>
  <c r="Q68" i="22"/>
  <c r="Q75" i="22"/>
  <c r="Q100" i="22"/>
  <c r="Q98" i="22"/>
  <c r="Q97" i="22"/>
  <c r="Q96" i="22"/>
  <c r="Q108" i="22"/>
  <c r="Q107" i="22"/>
  <c r="Q106" i="22"/>
  <c r="Q105" i="22"/>
  <c r="Q82" i="22"/>
  <c r="P73" i="22"/>
  <c r="P98" i="22"/>
  <c r="P106" i="22"/>
  <c r="P82" i="22"/>
  <c r="P89" i="22"/>
  <c r="P100" i="22"/>
  <c r="P108" i="22"/>
  <c r="P76" i="22"/>
  <c r="P67" i="22"/>
  <c r="P68" i="22"/>
  <c r="P75" i="22"/>
  <c r="P96" i="22"/>
  <c r="P81" i="22"/>
  <c r="P97" i="22"/>
  <c r="P107" i="22"/>
  <c r="P99" i="22"/>
  <c r="P84" i="22"/>
  <c r="P90" i="22"/>
  <c r="P91" i="22"/>
  <c r="P104" i="22"/>
  <c r="P105" i="22"/>
  <c r="P74" i="22"/>
  <c r="P92" i="22"/>
  <c r="R81" i="22"/>
  <c r="R92" i="22"/>
  <c r="R100" i="22"/>
  <c r="R99" i="22"/>
  <c r="R98" i="22"/>
  <c r="R97" i="22"/>
  <c r="R74" i="22"/>
  <c r="R104" i="22"/>
  <c r="R67" i="22"/>
  <c r="R68" i="22"/>
  <c r="R105" i="22"/>
  <c r="R75" i="22"/>
  <c r="R107" i="22"/>
  <c r="R84" i="22"/>
  <c r="R91" i="22"/>
  <c r="R76" i="22"/>
  <c r="R96" i="22"/>
  <c r="R73" i="22"/>
  <c r="R106" i="22"/>
  <c r="R108" i="22"/>
  <c r="R89" i="22"/>
  <c r="R83" i="22"/>
  <c r="R90" i="22"/>
  <c r="R82" i="22"/>
  <c r="K93" i="22"/>
  <c r="K138" i="22" s="1"/>
  <c r="H93" i="22"/>
  <c r="H138" i="22" s="1"/>
  <c r="I77" i="22"/>
  <c r="I135" i="22" s="1"/>
  <c r="M93" i="22"/>
  <c r="M138" i="22" s="1"/>
  <c r="J93" i="22"/>
  <c r="J138" i="22" s="1"/>
  <c r="L93" i="22"/>
  <c r="L138" i="22" s="1"/>
  <c r="R95" i="22"/>
  <c r="R88" i="22"/>
  <c r="R103" i="22"/>
  <c r="Q103" i="22"/>
  <c r="Q88" i="22"/>
  <c r="Q95" i="22"/>
  <c r="P88" i="22"/>
  <c r="P103" i="22"/>
  <c r="P95" i="22"/>
  <c r="F109" i="22"/>
  <c r="I93" i="22"/>
  <c r="I138" i="22" s="1"/>
  <c r="M85" i="22"/>
  <c r="M137" i="22" s="1"/>
  <c r="K69" i="22"/>
  <c r="K134" i="22" s="1"/>
  <c r="K85" i="22"/>
  <c r="K137" i="22" s="1"/>
  <c r="M69" i="22"/>
  <c r="K77" i="22"/>
  <c r="K135" i="22" s="1"/>
  <c r="I85" i="22"/>
  <c r="I137" i="22" s="1"/>
  <c r="M77" i="22"/>
  <c r="M135" i="22" s="1"/>
  <c r="L77" i="22"/>
  <c r="L135" i="22" s="1"/>
  <c r="H85" i="22"/>
  <c r="H137" i="22" s="1"/>
  <c r="P71" i="22"/>
  <c r="P66" i="22"/>
  <c r="P80" i="22"/>
  <c r="P87" i="22"/>
  <c r="Q71" i="22"/>
  <c r="Q80" i="22"/>
  <c r="Q66" i="22"/>
  <c r="Q87" i="22"/>
  <c r="Q63" i="22"/>
  <c r="Q79" i="22"/>
  <c r="J77" i="22"/>
  <c r="J135" i="22" s="1"/>
  <c r="H77" i="22"/>
  <c r="H135" i="22" s="1"/>
  <c r="J85" i="22"/>
  <c r="J137" i="22" s="1"/>
  <c r="R71" i="22"/>
  <c r="R87" i="22"/>
  <c r="R66" i="22"/>
  <c r="R80" i="22"/>
  <c r="L69" i="22"/>
  <c r="L134" i="22" s="1"/>
  <c r="L85" i="22"/>
  <c r="L137" i="22" s="1"/>
  <c r="R63" i="22"/>
  <c r="R79" i="22"/>
  <c r="J69" i="22"/>
  <c r="J134" i="22" s="1"/>
  <c r="O71" i="22"/>
  <c r="O87" i="22"/>
  <c r="O66" i="22"/>
  <c r="O80" i="22"/>
  <c r="G80" i="22" s="1"/>
  <c r="S80" i="22" s="1"/>
  <c r="I69" i="22"/>
  <c r="I134" i="22" s="1"/>
  <c r="P83" i="22"/>
  <c r="P65" i="22"/>
  <c r="P63" i="22"/>
  <c r="P79" i="22"/>
  <c r="O79" i="22"/>
  <c r="G79" i="22" s="1"/>
  <c r="S79" i="22" s="1"/>
  <c r="H69" i="22"/>
  <c r="O72" i="22"/>
  <c r="P64" i="22"/>
  <c r="P72" i="22"/>
  <c r="Q64" i="22"/>
  <c r="Q72" i="22"/>
  <c r="R72" i="22"/>
  <c r="R64" i="22"/>
  <c r="F77" i="22"/>
  <c r="F85" i="22"/>
  <c r="F69" i="22"/>
  <c r="F93" i="22"/>
  <c r="G63" i="22" l="1"/>
  <c r="S63" i="22" s="1"/>
  <c r="N63" i="22"/>
  <c r="F111" i="22"/>
  <c r="E122" i="22" s="1"/>
  <c r="H139" i="22"/>
  <c r="S103" i="22"/>
  <c r="N65" i="22"/>
  <c r="G65" i="22"/>
  <c r="S65" i="22" s="1"/>
  <c r="N74" i="22"/>
  <c r="N82" i="22"/>
  <c r="N90" i="22"/>
  <c r="N91" i="22"/>
  <c r="N73" i="22"/>
  <c r="G92" i="22"/>
  <c r="G95" i="22"/>
  <c r="N100" i="22"/>
  <c r="G100" i="22"/>
  <c r="S100" i="22" s="1"/>
  <c r="N98" i="22"/>
  <c r="G98" i="22"/>
  <c r="S98" i="22" s="1"/>
  <c r="N68" i="22"/>
  <c r="G68" i="22"/>
  <c r="S68" i="22" s="1"/>
  <c r="N75" i="22"/>
  <c r="G75" i="22"/>
  <c r="S75" i="22" s="1"/>
  <c r="G67" i="22"/>
  <c r="S67" i="22" s="1"/>
  <c r="N67" i="22"/>
  <c r="G84" i="22"/>
  <c r="S84" i="22" s="1"/>
  <c r="N84" i="22"/>
  <c r="N106" i="22"/>
  <c r="G106" i="22"/>
  <c r="S106" i="22" s="1"/>
  <c r="G108" i="22"/>
  <c r="S108" i="22" s="1"/>
  <c r="N108" i="22"/>
  <c r="N83" i="22"/>
  <c r="G83" i="22"/>
  <c r="S83" i="22" s="1"/>
  <c r="G105" i="22"/>
  <c r="S105" i="22" s="1"/>
  <c r="N105" i="22"/>
  <c r="N97" i="22"/>
  <c r="G97" i="22"/>
  <c r="S97" i="22" s="1"/>
  <c r="N99" i="22"/>
  <c r="G99" i="22"/>
  <c r="S99" i="22" s="1"/>
  <c r="G76" i="22"/>
  <c r="S76" i="22" s="1"/>
  <c r="N76" i="22"/>
  <c r="G107" i="22"/>
  <c r="S107" i="22" s="1"/>
  <c r="N107" i="22"/>
  <c r="N81" i="22"/>
  <c r="N89" i="22"/>
  <c r="N92" i="22"/>
  <c r="S88" i="22"/>
  <c r="K111" i="22"/>
  <c r="K130" i="22" s="1"/>
  <c r="K136" i="22"/>
  <c r="N103" i="22"/>
  <c r="N88" i="22"/>
  <c r="O111" i="22"/>
  <c r="E121" i="22" s="1"/>
  <c r="G87" i="22"/>
  <c r="S87" i="22" s="1"/>
  <c r="N87" i="22"/>
  <c r="N96" i="22"/>
  <c r="G71" i="22"/>
  <c r="S71" i="22" s="1"/>
  <c r="N71" i="22"/>
  <c r="N104" i="22"/>
  <c r="M111" i="22"/>
  <c r="M130" i="22" s="1"/>
  <c r="J136" i="22"/>
  <c r="M136" i="22"/>
  <c r="M134" i="22"/>
  <c r="L111" i="22"/>
  <c r="L128" i="22" s="1"/>
  <c r="L136" i="22"/>
  <c r="H136" i="22"/>
  <c r="N95" i="22"/>
  <c r="I136" i="22"/>
  <c r="N79" i="22"/>
  <c r="J111" i="22"/>
  <c r="J129" i="22" s="1"/>
  <c r="N69" i="22"/>
  <c r="I111" i="22"/>
  <c r="I126" i="22" s="1"/>
  <c r="N66" i="22"/>
  <c r="G66" i="22"/>
  <c r="S66" i="22" s="1"/>
  <c r="N109" i="22"/>
  <c r="N93" i="22"/>
  <c r="N101" i="22"/>
  <c r="H111" i="22"/>
  <c r="E124" i="22" s="1"/>
  <c r="H134" i="22"/>
  <c r="N85" i="22"/>
  <c r="N77" i="22"/>
  <c r="N80" i="22"/>
  <c r="G64" i="22"/>
  <c r="G72" i="22"/>
  <c r="S72" i="22" s="1"/>
  <c r="N72" i="22"/>
  <c r="H129" i="22" l="1"/>
  <c r="S102" i="22"/>
  <c r="S95" i="22"/>
  <c r="S92" i="22"/>
  <c r="G102" i="22"/>
  <c r="G109" i="22" s="1"/>
  <c r="G140" i="22" s="1"/>
  <c r="G94" i="22"/>
  <c r="G101" i="22" s="1"/>
  <c r="G78" i="22"/>
  <c r="G85" i="22" s="1"/>
  <c r="G137" i="22" s="1"/>
  <c r="S78" i="22"/>
  <c r="K129" i="22"/>
  <c r="K131" i="22"/>
  <c r="K126" i="22"/>
  <c r="K127" i="22"/>
  <c r="K128" i="22"/>
  <c r="G86" i="22"/>
  <c r="G93" i="22" s="1"/>
  <c r="G138" i="22" s="1"/>
  <c r="M129" i="22"/>
  <c r="M126" i="22"/>
  <c r="M127" i="22"/>
  <c r="M113" i="22"/>
  <c r="M128" i="22"/>
  <c r="M131" i="22"/>
  <c r="S64" i="22"/>
  <c r="S69" i="22" s="1"/>
  <c r="G69" i="22"/>
  <c r="L126" i="22"/>
  <c r="J131" i="22"/>
  <c r="L131" i="22"/>
  <c r="L127" i="22"/>
  <c r="L129" i="22"/>
  <c r="L130" i="22"/>
  <c r="J128" i="22"/>
  <c r="J113" i="22"/>
  <c r="J126" i="22"/>
  <c r="J130" i="22"/>
  <c r="J127" i="22"/>
  <c r="I130" i="22"/>
  <c r="I129" i="22"/>
  <c r="I127" i="22"/>
  <c r="I128" i="22"/>
  <c r="I131" i="22"/>
  <c r="I113" i="22"/>
  <c r="H113" i="22"/>
  <c r="H126" i="22"/>
  <c r="H130" i="22"/>
  <c r="H131" i="22"/>
  <c r="H128" i="22"/>
  <c r="H127" i="22"/>
  <c r="S70" i="22"/>
  <c r="G70" i="22"/>
  <c r="G77" i="22" s="1"/>
  <c r="G135" i="22" s="1"/>
  <c r="S94" i="22" l="1"/>
  <c r="S86" i="22"/>
  <c r="G139" i="22"/>
  <c r="G111" i="22"/>
  <c r="E123" i="22" s="1"/>
  <c r="E120" i="22" s="1"/>
  <c r="G134" i="22"/>
  <c r="G136" i="22"/>
  <c r="E151" i="22" l="1"/>
  <c r="S111" i="22"/>
  <c r="E152" i="22" s="1"/>
  <c r="G130" i="22"/>
  <c r="G131" i="22"/>
  <c r="G127" i="22"/>
  <c r="G128" i="22"/>
  <c r="G113" i="22"/>
  <c r="B117" i="22" s="1" a="1"/>
  <c r="G126" i="22"/>
  <c r="G129" i="2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<sst xmlns="http://schemas.openxmlformats.org/spreadsheetml/2006/main" count="3095" uniqueCount="641">
  <si>
    <t>Werkingscoëfficiënt (%)</t>
  </si>
  <si>
    <t>N-bemestingsnormen</t>
  </si>
  <si>
    <t>Maaien</t>
  </si>
  <si>
    <t>Maaien + grazen</t>
  </si>
  <si>
    <t>Nitraatgevoelig</t>
  </si>
  <si>
    <t>NG</t>
  </si>
  <si>
    <t>NNG</t>
  </si>
  <si>
    <t>Zand</t>
  </si>
  <si>
    <t>Niet-zand</t>
  </si>
  <si>
    <t>Dierlijke N (kg/ha*jaar)</t>
  </si>
  <si>
    <t>Werkzame N (kg/ha*jaar)</t>
  </si>
  <si>
    <t>Omschrijving teelt</t>
  </si>
  <si>
    <t>Teeltcode</t>
  </si>
  <si>
    <t>Grasland</t>
  </si>
  <si>
    <t>Graskruiden mengsel</t>
  </si>
  <si>
    <t>Festulolium</t>
  </si>
  <si>
    <t>Gras in onderzaai</t>
  </si>
  <si>
    <t>Mengsel met 1 of meer vlinderbloemige groenbedekkers</t>
  </si>
  <si>
    <t>Grasluzerne</t>
  </si>
  <si>
    <t>Vlinderbloemige in onderzaai</t>
  </si>
  <si>
    <t>Grasklaver</t>
  </si>
  <si>
    <t>Eenjarige klaver</t>
  </si>
  <si>
    <t>Meerjarige klaver</t>
  </si>
  <si>
    <t>Rode klaver</t>
  </si>
  <si>
    <t>Eenjarige luzerne</t>
  </si>
  <si>
    <t>Meerjarige luzerne</t>
  </si>
  <si>
    <t>Mengsel van vlinderbloemigen</t>
  </si>
  <si>
    <t>Mengsel van gras en vlinderbloemigen (andere dan grasklaver of grasluzerne)</t>
  </si>
  <si>
    <t>Mengsel met 1 of meerdere vlinderbloemigen</t>
  </si>
  <si>
    <t>Graszoden</t>
  </si>
  <si>
    <t>Weiland met niet-oogstbare bomen (&gt; 100 bomen per ha)</t>
  </si>
  <si>
    <t>Weiland met oogstbare bomen (&gt; 100 bomen/ha)</t>
  </si>
  <si>
    <t>Natuurlijk grasland met minimumactiviteit</t>
  </si>
  <si>
    <t>Natuurlijk grasland zonder minimumactiviteit</t>
  </si>
  <si>
    <t>Niet-nitraatgevoelige hoofdteelt</t>
  </si>
  <si>
    <t>Totale P2O5 (kg/ha*jaar)</t>
  </si>
  <si>
    <t>P-bemestingsnormen</t>
  </si>
  <si>
    <t>Teelteigenschappen</t>
  </si>
  <si>
    <t>Maximaal op perceelsniveau voor werkzame N</t>
  </si>
  <si>
    <t>Maximaal op perceelsniveau voor dierlijke N</t>
  </si>
  <si>
    <t>Als dierlijke mest enkel bestaat uit vaste mest zoals stalmest, champost en boerderijcompost of meststoffen opgebracht via rechtstreekse uitscheiding bij begrazing</t>
  </si>
  <si>
    <t>Naam mestcode</t>
  </si>
  <si>
    <t>ANDER PLUIMVEE</t>
  </si>
  <si>
    <t>ANDERE MEST HOOFDAANDEEL GROENCOMPOST</t>
  </si>
  <si>
    <t>ANDERE MESTSTOF HOOFDAANDEEL GFT</t>
  </si>
  <si>
    <t>ANDERE MESTSTOF HOOFDAANDEEL TEELAARDE</t>
  </si>
  <si>
    <t>BEENDERMEEL</t>
  </si>
  <si>
    <t xml:space="preserve">TABEL ALGEMENE MESTCODES (https://www.vlm.be/nl/SiteCollectionDocuments/Mestbank/Algemeen/Algemene_mestcodes.pdf) </t>
  </si>
  <si>
    <t>Bronnen inhouden:
N en P: VLM
EOC, K2O, MgO: Vanrespaille et al., 2018
Na2O en CaO: data BDB</t>
  </si>
  <si>
    <t>Stikstof (N)</t>
  </si>
  <si>
    <t>Magnesium (MgO)</t>
  </si>
  <si>
    <t>Calcium (CaO)</t>
  </si>
  <si>
    <t>EOC</t>
  </si>
  <si>
    <t>Vorm</t>
  </si>
  <si>
    <t>Type</t>
  </si>
  <si>
    <t>Type meststof</t>
  </si>
  <si>
    <t>Naam</t>
  </si>
  <si>
    <t>Mestcode</t>
  </si>
  <si>
    <t>Dichtheid (ton/m³)</t>
  </si>
  <si>
    <t>Eenheid_Inhoud</t>
  </si>
  <si>
    <t>Eenheid_Dosering</t>
  </si>
  <si>
    <t>Inhoud (Eenheid_Inhoud)</t>
  </si>
  <si>
    <t>Inhoud werkzaam (Eenheid_inhoud)</t>
  </si>
  <si>
    <t>Ndierlijk (Eenheid_Inhoud)</t>
  </si>
  <si>
    <t>Inhoud werkzaam (Eenheid_Inhoud)</t>
  </si>
  <si>
    <t>Vaste mest</t>
  </si>
  <si>
    <t>DIERLIJKE</t>
  </si>
  <si>
    <t>Ander pluimvee vaste mest</t>
  </si>
  <si>
    <t>kg/ton</t>
  </si>
  <si>
    <t>ton</t>
  </si>
  <si>
    <t>VASTE MEST</t>
  </si>
  <si>
    <t>ANDERE</t>
  </si>
  <si>
    <t>Andere Mest Hoofdaandeel Groencompost vaste mest</t>
  </si>
  <si>
    <t>Analyse verplicht</t>
  </si>
  <si>
    <t>Andere Meststof Hoofdaandeel Gft vaste mest</t>
  </si>
  <si>
    <t>Andere Meststof Hoofdaandeel Teelaarde vaste mest</t>
  </si>
  <si>
    <t>Beendermeel vaste mest</t>
  </si>
  <si>
    <t>BIGGEN 7-20 KG</t>
  </si>
  <si>
    <t>Mengmest</t>
  </si>
  <si>
    <t>Biggen van 7 tot 20 kg mengmest</t>
  </si>
  <si>
    <t>ton of m³</t>
  </si>
  <si>
    <t>BIGGEN</t>
  </si>
  <si>
    <t>Biggen vaste mest</t>
  </si>
  <si>
    <t>BIOARMOR ACTIEF SLIB</t>
  </si>
  <si>
    <t>VLOEIBARE MEST</t>
  </si>
  <si>
    <t>Bioarmor Actief Slib vloeibare mest</t>
  </si>
  <si>
    <t>CHAMPOST + GFT COMPOST</t>
  </si>
  <si>
    <t>Champost + Gft Compost vaste mest</t>
  </si>
  <si>
    <t>CHAMPOST EN VEEN</t>
  </si>
  <si>
    <t>Champost en veen</t>
  </si>
  <si>
    <t>CHAMPOST ONREIN</t>
  </si>
  <si>
    <t>Champost onrein</t>
  </si>
  <si>
    <t>CHAMPOST REIN</t>
  </si>
  <si>
    <t>Champost rein</t>
  </si>
  <si>
    <t>DIERLIJKE MESTSTOF HOOFDAANDEEL TEELAARDE</t>
  </si>
  <si>
    <t>Dierlijke Meststof Hoofdaandeel Teelaarde vaste mest</t>
  </si>
  <si>
    <t>DIGESTAAT M+OBA CONCENTRAAT</t>
  </si>
  <si>
    <t>Digestaat M+Oba Concentraat vloeibare mest</t>
  </si>
  <si>
    <t>DIGESTAAT M+OBA DIKKE FRACTIE</t>
  </si>
  <si>
    <t>Digestaat M+Oba Dikke Fractie vaste mest</t>
  </si>
  <si>
    <t>DIGESTAAT M+OBA DUNNE FRACTIE INGEDIKT</t>
  </si>
  <si>
    <t>Digestaat M+Oba Dunne Fractie Ingedikt vloeibare mest</t>
  </si>
  <si>
    <t>DIGESTAAT M+OBA DUNNE FRACTIE</t>
  </si>
  <si>
    <t>Digestaat M+Oba Dunne Fractie vloeibare mest</t>
  </si>
  <si>
    <t>DIGESTAAT M+OBA GEDROOGD</t>
  </si>
  <si>
    <t>VASTE GEDROOGDE MEST</t>
  </si>
  <si>
    <t>Digestaat M+Oba Gedroogd vaste gedroogde mest</t>
  </si>
  <si>
    <t>DIGESTAAT M+OBA</t>
  </si>
  <si>
    <t>Digestaat M+Oba vloeibare mest</t>
  </si>
  <si>
    <t>DIGESTAAT NA SCHEIDING DIK</t>
  </si>
  <si>
    <t>Digestaat Na Scheiding Dik vaste mest</t>
  </si>
  <si>
    <t>DIGESTAAT OBA CONCENTRAAT</t>
  </si>
  <si>
    <t>Digestaat Oba Concentraat vloeibare mest</t>
  </si>
  <si>
    <t>DIGESTAAT OBA DIKKE FRACTIE</t>
  </si>
  <si>
    <t>Digestaat Oba Dikke Fractie vaste mest</t>
  </si>
  <si>
    <t>DIGESTAAT OBA DUNNE FRACTIE</t>
  </si>
  <si>
    <t>Digestaat Oba Dunne Fractie vloeibare mest</t>
  </si>
  <si>
    <t>DIGESTAAT OBA GEDROOGD</t>
  </si>
  <si>
    <t>Digestaat Oba Gedroogd vaste gedroogde mest</t>
  </si>
  <si>
    <t>DIGESTAAT OBA</t>
  </si>
  <si>
    <t>Digestaat Oba vloeibare mest</t>
  </si>
  <si>
    <t>DIGESTAAT VAN POCKETVERGISTING RUNDVEE</t>
  </si>
  <si>
    <t>Digestaat Van Pocketvergisting Rundvee vloeibare mest</t>
  </si>
  <si>
    <t>DIGESTAAT VAN POCKETVERGISTING VARKENS</t>
  </si>
  <si>
    <t>Digestaat Van Pocketvergisting Varkens vloeibare mest</t>
  </si>
  <si>
    <t>Digestaat Van Pocketvergisting vloeibare mest</t>
  </si>
  <si>
    <t>DOORGROEIDE COMPOST CHAMPIGNONTELERS</t>
  </si>
  <si>
    <t>Doorgroeide compost champignontelers</t>
  </si>
  <si>
    <t>DUNNE FRACTIE MENGELING</t>
  </si>
  <si>
    <t>Dunne Fractie Mengeling vloeibare mest</t>
  </si>
  <si>
    <t>EENDEN</t>
  </si>
  <si>
    <t>Eenden vaste mest</t>
  </si>
  <si>
    <t>EFFLUENT DIGESTAAT M+OBA</t>
  </si>
  <si>
    <t>Effluent Digestaat M+Oba vloeibare mest</t>
  </si>
  <si>
    <t>EFFLUENT DIGESTAAT OBA</t>
  </si>
  <si>
    <t>Effluent Digestaat Oba vloeibare mest</t>
  </si>
  <si>
    <t>EFFLUENT</t>
  </si>
  <si>
    <t>Effluent vloeibare mest</t>
  </si>
  <si>
    <t>EIERSCHALEN -ANDERE MESTSTOF</t>
  </si>
  <si>
    <t>Eierschalen -Andere Meststof vaste mest</t>
  </si>
  <si>
    <t>ENTBARE COMPOST VOOR CHAMPIGNONTELERS</t>
  </si>
  <si>
    <t>Entbare compost voor champignontelers</t>
  </si>
  <si>
    <t>GFT COMPOST</t>
  </si>
  <si>
    <t>Vast</t>
  </si>
  <si>
    <t>Gecertificeerde GFT-compost (P2O5wz = 50% )</t>
  </si>
  <si>
    <t>0</t>
  </si>
  <si>
    <t>GROENCOMPOST</t>
  </si>
  <si>
    <t>Gecertificeerde groencompost (P2O5wz = 50% )</t>
  </si>
  <si>
    <t>GECOMPOSTEERDE/GEDROOGDE MEST - ANDERE MESTSTOF</t>
  </si>
  <si>
    <t>Gecomposteerde/Gedroogde Mest - Andere Meststof vaste gedroogde mest</t>
  </si>
  <si>
    <t>GECOMPOSTEERDE/GEDROOGDE MEST</t>
  </si>
  <si>
    <t>Gecomposteerde/Gedroogde Mest vaste gedroogde mest</t>
  </si>
  <si>
    <t>GEDROOGDE MEST PAARDEN</t>
  </si>
  <si>
    <t>Gedroogde Mest Paarden vaste gedroogde mest</t>
  </si>
  <si>
    <t>GEDROOGDE MEST PLUIMVEE</t>
  </si>
  <si>
    <t>Gedroogde Mest Pluimvee vaste gedroogde mest</t>
  </si>
  <si>
    <t>GEDROOGDE MEST RUND</t>
  </si>
  <si>
    <t>Gedroogde Mest Rund vaste mest</t>
  </si>
  <si>
    <t>GEHYGIENISEERD DIG (AFKOMST NEDERLAND)</t>
  </si>
  <si>
    <t>Gehygieniseerd Dig (Afkomst Nederland) vaste mest</t>
  </si>
  <si>
    <t>GEHYGIENISEERD DIGESTAAT M+OBA  (AFKOMST NEDERLAND)</t>
  </si>
  <si>
    <t>Gehygieniseerd Digestaat M+Oba  (Afkomst Nederland) vloeibare mest</t>
  </si>
  <si>
    <t>GEHYGIENISEERD DIGESTAAT M+OBA (AFK NED) GEDROOGD</t>
  </si>
  <si>
    <t>Gehygieniseerd Digestaat M+Oba (Afk Ned) Gedroogd vaste gedroogde mest</t>
  </si>
  <si>
    <t>GEHYGIENISEERD DIGESTAAT M+OBA (AFKOMST NEDERLAND) DIKKE FRACTIE</t>
  </si>
  <si>
    <t>Gehygieniseerd Digestaat M+Oba (Afkomst Nederland) Dikke Fractie vaste mest</t>
  </si>
  <si>
    <t>GEHYGIENISEERDE DIERLIJKE MEST</t>
  </si>
  <si>
    <t>MENGMEST</t>
  </si>
  <si>
    <t>Gehygieniseerde Dierlijke Mest mengmest</t>
  </si>
  <si>
    <t>GEHYGIENISEERDE DIERLIJKE MEST VAST</t>
  </si>
  <si>
    <t>Gehygieniseerde Dierlijke Mest Vast vaste mest</t>
  </si>
  <si>
    <t>GEHYGIENISEERDE VARKENSMEST</t>
  </si>
  <si>
    <t>Gehygieniseerde Varkensmest mengmest</t>
  </si>
  <si>
    <t>GEHYGIENISEERDE VARKENSMEST NA SCHEIDING DIK</t>
  </si>
  <si>
    <t>Gehygieniseerde Varkensmest Na Scheiding Dik vaste mest</t>
  </si>
  <si>
    <t>GEITEN (OP ROOSTERS)</t>
  </si>
  <si>
    <t xml:space="preserve">Geiten (op roosters) vaste mest </t>
  </si>
  <si>
    <t>GEITEN</t>
  </si>
  <si>
    <t xml:space="preserve">Geiten vaste mest </t>
  </si>
  <si>
    <t>GEZUIVERD AFVALWATER</t>
  </si>
  <si>
    <t>Gezuiverd Afvalwater vloeibare mest</t>
  </si>
  <si>
    <t>HOOFDAANDEEL STALMEST MET  ANDERE MEST</t>
  </si>
  <si>
    <t>Hoofdaandeel Stalmest Met  Andere Mest vaste mest</t>
  </si>
  <si>
    <t>KALKHOUDENDE MESTSTOFFEN</t>
  </si>
  <si>
    <t>Kalkhoudende Meststoffen vaste mest</t>
  </si>
  <si>
    <t>KONIJNEN</t>
  </si>
  <si>
    <t>Gier</t>
  </si>
  <si>
    <t>Konijnen gier</t>
  </si>
  <si>
    <t>KONIJNEN (DEEPPIT STAL)</t>
  </si>
  <si>
    <t>Konijnen in deeppitstal vaste mest</t>
  </si>
  <si>
    <t>Konijnen mengmest</t>
  </si>
  <si>
    <t>Konijnen vaste mest</t>
  </si>
  <si>
    <t>KUISWATER PAARDEN</t>
  </si>
  <si>
    <t>Kuiswater Paarden vloeibare mest</t>
  </si>
  <si>
    <t>KUISWATER PLUIMVEE</t>
  </si>
  <si>
    <t>Kuiswater Pluimvee vloeibare mest</t>
  </si>
  <si>
    <t>KUISWATER RUNDEREN</t>
  </si>
  <si>
    <t>Kuiswater Runderen vloeibare mest</t>
  </si>
  <si>
    <t>KUISWATER VARKENS</t>
  </si>
  <si>
    <t>Kuiswater Varkens vloeibare mest</t>
  </si>
  <si>
    <t>LAMAMEST</t>
  </si>
  <si>
    <t>Lamamest vaste mest</t>
  </si>
  <si>
    <t>LAMAMEST VLOEIBAAR</t>
  </si>
  <si>
    <t>Lamamest Vloeibaar vloeibare mest</t>
  </si>
  <si>
    <t>LEGHEN KOOI-MESTOPSLAG IN LOODS+DROGING</t>
  </si>
  <si>
    <t>Vaste gedroogde mest</t>
  </si>
  <si>
    <t>Leghen kooi - mestopslag in loods + droging vaste, gedroogde mest</t>
  </si>
  <si>
    <t>LEGHEN KOOI - MESTOPSLAG IN LOODS</t>
  </si>
  <si>
    <t>Vochtige vaste mest</t>
  </si>
  <si>
    <t>Leghen kooi - mestopslag in loods vochtige, vaste mest</t>
  </si>
  <si>
    <t>LEGHEN KOOI - RECHTSTREEKSE MESTAFVOER</t>
  </si>
  <si>
    <t>Leghen kooi - rechtstreekse mestafvoer vochtige vaste mest</t>
  </si>
  <si>
    <t>LEGHENOUDERDIER</t>
  </si>
  <si>
    <t>Leghen ouderdier vaste mest</t>
  </si>
  <si>
    <t>LEGHEN SCHARREL OF VOLIERE</t>
  </si>
  <si>
    <t>Leghen scharrel of volière vaste mest</t>
  </si>
  <si>
    <t>LEGHENNEN</t>
  </si>
  <si>
    <t>Leghennen mengmest</t>
  </si>
  <si>
    <t>MENGELING ANDERE MESTSTOFFEN</t>
  </si>
  <si>
    <t>Mengeling Andere Meststoffen vloeibare mest</t>
  </si>
  <si>
    <t>MENGELING DEROGATIEMEST</t>
  </si>
  <si>
    <t>GIER</t>
  </si>
  <si>
    <t>Mengeling Derogatiemest gier</t>
  </si>
  <si>
    <t>Mengeling Derogatiemest mengmest</t>
  </si>
  <si>
    <t>Mengeling Derogatiemest vaste mest</t>
  </si>
  <si>
    <t>MENGELING DIERLIJKE EN SPUI BIOL WASSER</t>
  </si>
  <si>
    <t>Mengeling Dierlijke En Spui Biol Wasser vloeibare mest</t>
  </si>
  <si>
    <t>MENGELING DIERLIJKE EN SPUI CHEM WASSER</t>
  </si>
  <si>
    <t>Mengeling Dierlijke En Spui Chem Wasser vloeibare mest</t>
  </si>
  <si>
    <t>MENGELING</t>
  </si>
  <si>
    <t>Mengeling gier</t>
  </si>
  <si>
    <t>MENGELING PLUIMVEE EN SPUI BIOL WASSER</t>
  </si>
  <si>
    <t>Mengeling Pluimvee En Spui Biol Wasser vloeibare mest</t>
  </si>
  <si>
    <t>MENGELING PLUIMVEE EN SPUI CHEM WASSER</t>
  </si>
  <si>
    <t>Mengeling Pluimvee En Spui Chem Wasser vloeibare mest</t>
  </si>
  <si>
    <t xml:space="preserve"> MENGELING RUNDERMEST + EFFLUENT                    </t>
  </si>
  <si>
    <t>Mengeling Rundermest + Effluent vloeibare mest</t>
  </si>
  <si>
    <t>MENGELING RUNDVEE EN SPUI BIOLWASSER</t>
  </si>
  <si>
    <t>Mengeling Rundvee En Spui Biolwasser vloeibare mest</t>
  </si>
  <si>
    <t>MENGELING RUNDVEE EN SPUI CHEM WASSER</t>
  </si>
  <si>
    <t>Mengeling Rundvee En Spui Chem Wasser vloeibare mest</t>
  </si>
  <si>
    <t xml:space="preserve">MENGELING STALMEST       </t>
  </si>
  <si>
    <t>Mengeling Stalmest vaste mest</t>
  </si>
  <si>
    <t>MENGELING VARKENS EN SPUI BIOL WASSER</t>
  </si>
  <si>
    <t>Mengeling Varkens En Spui Biol Wasser vloeibare mest</t>
  </si>
  <si>
    <t>MENGELING VARKENS EN SPUI CHEM WASSER</t>
  </si>
  <si>
    <t>Mengeling Varkens En Spui Chem Wasser vloeibare mest</t>
  </si>
  <si>
    <t>MENGELING VARKENSMEST + EFFLUENT</t>
  </si>
  <si>
    <t>Mengeling Varkensmest + Effluent vloeibare mest</t>
  </si>
  <si>
    <t>MENGELING VARKENSMEST EN RUNDVEEMEST</t>
  </si>
  <si>
    <t>Mengeling Varkensmest En Rundveemest mengmest</t>
  </si>
  <si>
    <t>MENGELING VARKENSMEST</t>
  </si>
  <si>
    <t>Mengeling Varkensmest mengmest</t>
  </si>
  <si>
    <t xml:space="preserve">MENGELING VARKENSMEST VAST        </t>
  </si>
  <si>
    <t>Mengeling Varkensmest Vast vaste mest</t>
  </si>
  <si>
    <t>Mengeling vaste mest</t>
  </si>
  <si>
    <t>Mengeling vloeibare mest</t>
  </si>
  <si>
    <t>MENGSEL GEHYGIENISEERDE DIERLIJKE MEST</t>
  </si>
  <si>
    <t>Mengsel Gehygieniseerde Dierlijke Mest mengmest</t>
  </si>
  <si>
    <t>MEST (MENGELING) NA SCHEIDING DIK</t>
  </si>
  <si>
    <t>Mest (Mengeling) Na Scheiding Dik vaste mest</t>
  </si>
  <si>
    <t>MEST VAN VISTEELT</t>
  </si>
  <si>
    <t>Mest Van Visteelt vloeibare mest</t>
  </si>
  <si>
    <t xml:space="preserve">    MEST+DIGESTAAT NA SCHEIDING DIK        </t>
  </si>
  <si>
    <t>Mest+Digestaat Na Scheiding Dik vaste mest</t>
  </si>
  <si>
    <t>MESTKALVEREN</t>
  </si>
  <si>
    <t>Mestkalveren mengmest</t>
  </si>
  <si>
    <t>MESTKALVERMEST NA SCHEIDING DIK</t>
  </si>
  <si>
    <t>Mestkalvermest Na Scheiding Dik vaste mest</t>
  </si>
  <si>
    <t>MESTKALVERMEST NA SCHEIDING DUN</t>
  </si>
  <si>
    <t>Mestkalvermest Na Scheiding Dun vloeibare mest</t>
  </si>
  <si>
    <t>NERTSEN</t>
  </si>
  <si>
    <t>Nertsen gier</t>
  </si>
  <si>
    <t>Nertsen mengmest</t>
  </si>
  <si>
    <t>Nertsen vaste mest</t>
  </si>
  <si>
    <t>OPFOK LEGHEN KOOI</t>
  </si>
  <si>
    <t>Opfok leghen kooi vochtige vaste mest</t>
  </si>
  <si>
    <t>OPFOK LEGHEN SCHARREL OF VOLIERE</t>
  </si>
  <si>
    <t>Opfok leghen scharrel of volière vaste mest</t>
  </si>
  <si>
    <t>OPFOK SLACHTKUIKENOUDERDIEREN</t>
  </si>
  <si>
    <t>Opfok slachtkuikenouderdieren vaste mest</t>
  </si>
  <si>
    <t>OPFOKPOELJEN</t>
  </si>
  <si>
    <t>Opfokpoeljen mengmest</t>
  </si>
  <si>
    <t>PAARDEN</t>
  </si>
  <si>
    <t>Paarden gier</t>
  </si>
  <si>
    <t xml:space="preserve">Paarden vaste mest </t>
  </si>
  <si>
    <t>PLUIMVEEMEST MET COMPOST</t>
  </si>
  <si>
    <t>Pluimveemest Met Compost vaste mest</t>
  </si>
  <si>
    <t>RUNDEREN</t>
  </si>
  <si>
    <t>Runderen gier</t>
  </si>
  <si>
    <t>Runderen mengmest</t>
  </si>
  <si>
    <t>Runderen vaste mest</t>
  </si>
  <si>
    <t>1,7</t>
  </si>
  <si>
    <t>RUNDERMEST  NA SCHEIDING DUN</t>
  </si>
  <si>
    <t>Rundermest  Na Scheiding Dun vloeibare mest</t>
  </si>
  <si>
    <t>RUNDERMEST NA SCHEIDING DIK</t>
  </si>
  <si>
    <t>Rundermest Na Scheiding Dik vaste mest</t>
  </si>
  <si>
    <t>RUN-OFF WATER - ANDERE MESTSTOF</t>
  </si>
  <si>
    <t>Run-Off Water - Andere Meststof vloeibare mest</t>
  </si>
  <si>
    <t>RUN-OFF WATER - DIERLIJK</t>
  </si>
  <si>
    <t>Run-Off Water - Dierlijk vloeibare mest</t>
  </si>
  <si>
    <t>SCHAPEN</t>
  </si>
  <si>
    <t>Schapen gier</t>
  </si>
  <si>
    <t>Schapen vaste mest</t>
  </si>
  <si>
    <t>SCHUIMAARDE</t>
  </si>
  <si>
    <t>Schuimaarde</t>
  </si>
  <si>
    <t>SLACHTKUIKENOUDERDIEREN</t>
  </si>
  <si>
    <t>Slachtkuikenouderdieren vaste gedroogde mest</t>
  </si>
  <si>
    <t>SLACHTKUIKENS</t>
  </si>
  <si>
    <t xml:space="preserve">Slachtkuikens vaste mest </t>
  </si>
  <si>
    <t>SLIB - ANDERE MESTSTOF VAST</t>
  </si>
  <si>
    <t>Slib - Andere Meststof Vast vaste mest</t>
  </si>
  <si>
    <t>SLIB - ANDERE MESTSTOF VLOEIBAAR</t>
  </si>
  <si>
    <t>Slib - Andere Meststof Vloeibaar vloeibare mest</t>
  </si>
  <si>
    <t>SLIB VAN BIOLOGIE</t>
  </si>
  <si>
    <t>Slib Van Biologie vaste mest</t>
  </si>
  <si>
    <t>Slib Van Biologie vloeibare mest</t>
  </si>
  <si>
    <t>SPUISTROOM AARDBEIEN</t>
  </si>
  <si>
    <t>Vloeibare mest</t>
  </si>
  <si>
    <t>Spuistroom aardbeien</t>
  </si>
  <si>
    <t>SPUISTROOM ANDERE TUINBOUWTEELTEN</t>
  </si>
  <si>
    <t>Spuistroom andere tuinbouwteelten</t>
  </si>
  <si>
    <t>SPUISTROOM AUBERGINES</t>
  </si>
  <si>
    <t>Spuistroom aubergines</t>
  </si>
  <si>
    <t>SPUISTROOM AZALEA</t>
  </si>
  <si>
    <t>Spuistroom azalea</t>
  </si>
  <si>
    <t>SPUISTROOM BOOMKWEKERIJ</t>
  </si>
  <si>
    <t>Spuistroom boomkwekerij</t>
  </si>
  <si>
    <t>SPUISTROOM FORCERIE WITLOOF</t>
  </si>
  <si>
    <t>Spuistroom forcerie witloof</t>
  </si>
  <si>
    <t>SPUISTROOM GROEN EN BLOEIENDE PLANTEN</t>
  </si>
  <si>
    <t>Spuistroom groen en bloeiende planten</t>
  </si>
  <si>
    <t>SPUISTROOM KOMKOMMERS</t>
  </si>
  <si>
    <t>Spuistroom komkommers</t>
  </si>
  <si>
    <t>SPUISTROOM PAPRIKA</t>
  </si>
  <si>
    <t>Spuistroom paprika</t>
  </si>
  <si>
    <t>SPUISTROOM ROZEN</t>
  </si>
  <si>
    <t>Spuistroom rozen</t>
  </si>
  <si>
    <t>SPUISTROOM SLA</t>
  </si>
  <si>
    <t>Spuistroom sla</t>
  </si>
  <si>
    <t>SPUISTROOM TOMATEN</t>
  </si>
  <si>
    <t>Spuistroom tomaten</t>
  </si>
  <si>
    <t>Spuistroom</t>
  </si>
  <si>
    <t>Spuistroom vloeibare mest</t>
  </si>
  <si>
    <t>SPUIWATER BIOLOGISCHE WASSER</t>
  </si>
  <si>
    <t>Spuiwater Biologische Wasser vloeibare mest</t>
  </si>
  <si>
    <t>TREVI ACTIEF SLIB</t>
  </si>
  <si>
    <t>Trevi Actief Slib vloeibare mest</t>
  </si>
  <si>
    <t>VARKENSMEST NA SCHEIDING DIK</t>
  </si>
  <si>
    <t>Varkensmest Na Scheiding Dik vaste mest</t>
  </si>
  <si>
    <t>VARKENSMEST NA SCHEIDING DUN</t>
  </si>
  <si>
    <t>Varkensmest Na Scheiding Dun vloeibare mest</t>
  </si>
  <si>
    <t>VERSE COMPOST VOOR CHAMPIGNONTELERS</t>
  </si>
  <si>
    <t>Verse compost voor champignontelers</t>
  </si>
  <si>
    <t>VLEESVARKENS</t>
  </si>
  <si>
    <t>Vleesvarkens gier</t>
  </si>
  <si>
    <t>Vleesvarkens mengmest</t>
  </si>
  <si>
    <t xml:space="preserve">Vleesvarkens vaste mest </t>
  </si>
  <si>
    <t>ZEUGEN DEKSTAL</t>
  </si>
  <si>
    <t>Zeugen Dekstal mengmest</t>
  </si>
  <si>
    <t>ZEUGEN EN BIGGEN</t>
  </si>
  <si>
    <t>Zeugen en biggen gier</t>
  </si>
  <si>
    <t>Zeugen en biggen mengmest</t>
  </si>
  <si>
    <t>Zeugen en biggen vaste mest</t>
  </si>
  <si>
    <t>ZEUGEN KRAAMSTAL</t>
  </si>
  <si>
    <t>Zeugen Kraamstal mengmest</t>
  </si>
  <si>
    <r>
      <t>Fosfor (P</t>
    </r>
    <r>
      <rPr>
        <b/>
        <vertAlign val="subscript"/>
        <sz val="11"/>
        <rFont val="Aptos Narrow"/>
        <family val="2"/>
        <scheme val="minor"/>
      </rPr>
      <t>2</t>
    </r>
    <r>
      <rPr>
        <b/>
        <sz val="11"/>
        <rFont val="Aptos Narrow"/>
        <family val="2"/>
        <scheme val="minor"/>
      </rPr>
      <t>O</t>
    </r>
    <r>
      <rPr>
        <b/>
        <vertAlign val="subscript"/>
        <sz val="11"/>
        <rFont val="Aptos Narrow"/>
        <family val="2"/>
        <scheme val="minor"/>
      </rPr>
      <t>5</t>
    </r>
    <r>
      <rPr>
        <b/>
        <sz val="11"/>
        <rFont val="Aptos Narrow"/>
        <family val="2"/>
        <scheme val="minor"/>
      </rPr>
      <t>)</t>
    </r>
  </si>
  <si>
    <r>
      <t>Kalium (K</t>
    </r>
    <r>
      <rPr>
        <b/>
        <vertAlign val="subscript"/>
        <sz val="11"/>
        <rFont val="Aptos Narrow"/>
        <family val="2"/>
        <scheme val="minor"/>
      </rPr>
      <t>2</t>
    </r>
    <r>
      <rPr>
        <b/>
        <sz val="11"/>
        <rFont val="Aptos Narrow"/>
        <family val="2"/>
        <scheme val="minor"/>
      </rPr>
      <t>O)</t>
    </r>
  </si>
  <si>
    <r>
      <t>Natrium (Na</t>
    </r>
    <r>
      <rPr>
        <b/>
        <vertAlign val="subscript"/>
        <sz val="11"/>
        <rFont val="Aptos Narrow"/>
        <family val="2"/>
        <scheme val="minor"/>
      </rPr>
      <t>2</t>
    </r>
    <r>
      <rPr>
        <b/>
        <sz val="11"/>
        <rFont val="Aptos Narrow"/>
        <family val="2"/>
        <scheme val="minor"/>
      </rPr>
      <t>O)</t>
    </r>
  </si>
  <si>
    <r>
      <t>Zwavel (SO</t>
    </r>
    <r>
      <rPr>
        <b/>
        <vertAlign val="subscript"/>
        <sz val="11"/>
        <rFont val="Aptos Narrow"/>
        <family val="2"/>
        <scheme val="minor"/>
      </rPr>
      <t>3</t>
    </r>
    <r>
      <rPr>
        <b/>
        <sz val="11"/>
        <rFont val="Aptos Narrow"/>
        <family val="2"/>
        <scheme val="minor"/>
      </rPr>
      <t>)</t>
    </r>
  </si>
  <si>
    <t>KUNSTMEST</t>
  </si>
  <si>
    <t>EIGEN_MESTSTOF</t>
  </si>
  <si>
    <t>Ammoniumnitraat 27 % + 4 % MgO</t>
  </si>
  <si>
    <t>Eigen meststof (kg)</t>
  </si>
  <si>
    <t>Ammoniumnitraat 27% / Kalkammonsalpeter (KAS)</t>
  </si>
  <si>
    <t>Eigen meststof (L)</t>
  </si>
  <si>
    <t>Calciumnitraat</t>
  </si>
  <si>
    <t>Eigen meststof (ton)</t>
  </si>
  <si>
    <t>Chilinitraat</t>
  </si>
  <si>
    <t>EIGEN MESTSTOF</t>
  </si>
  <si>
    <t>Chloorkali 40 %</t>
  </si>
  <si>
    <t>Chloorkali 40 % + 6 % MgO</t>
  </si>
  <si>
    <t>Chloorkali 60 %</t>
  </si>
  <si>
    <t>DAP</t>
  </si>
  <si>
    <t>Kaliumnitraat</t>
  </si>
  <si>
    <t>Kaliumsulfaat</t>
  </si>
  <si>
    <t>Kalkcyanamide / Kalkstikstof</t>
  </si>
  <si>
    <t>Kieseriet</t>
  </si>
  <si>
    <t>Landbouwzout</t>
  </si>
  <si>
    <t>Magnesiet</t>
  </si>
  <si>
    <t>Magnesiumkainiet</t>
  </si>
  <si>
    <t>Magnesiumsulfaat (bitterzout)</t>
  </si>
  <si>
    <t>MAP</t>
  </si>
  <si>
    <t>Monokaliumfosfaat</t>
  </si>
  <si>
    <t>Patentkali</t>
  </si>
  <si>
    <t>Superfosfaat</t>
  </si>
  <si>
    <t>Tripelsuperfosfaat</t>
  </si>
  <si>
    <t>Ureum 46%</t>
  </si>
  <si>
    <t>Vloeibare stikstof</t>
  </si>
  <si>
    <r>
      <t>N</t>
    </r>
    <r>
      <rPr>
        <b/>
        <vertAlign val="subscript"/>
        <sz val="12"/>
        <color theme="1"/>
        <rFont val="Aptos Narrow"/>
        <family val="2"/>
        <scheme val="minor"/>
      </rPr>
      <t>dierlijk</t>
    </r>
  </si>
  <si>
    <r>
      <t>N</t>
    </r>
    <r>
      <rPr>
        <b/>
        <vertAlign val="subscript"/>
        <sz val="12"/>
        <color theme="1"/>
        <rFont val="Aptos Narrow"/>
        <family val="2"/>
        <scheme val="minor"/>
      </rPr>
      <t>wz</t>
    </r>
  </si>
  <si>
    <r>
      <t>P</t>
    </r>
    <r>
      <rPr>
        <b/>
        <vertAlign val="subscript"/>
        <sz val="12"/>
        <color theme="1"/>
        <rFont val="Aptos Narrow"/>
        <family val="2"/>
        <scheme val="minor"/>
      </rPr>
      <t>2</t>
    </r>
    <r>
      <rPr>
        <b/>
        <sz val="12"/>
        <color theme="1"/>
        <rFont val="Aptos Narrow"/>
        <family val="2"/>
        <scheme val="minor"/>
      </rPr>
      <t>O</t>
    </r>
    <r>
      <rPr>
        <b/>
        <vertAlign val="subscript"/>
        <sz val="12"/>
        <color theme="1"/>
        <rFont val="Aptos Narrow"/>
        <family val="2"/>
        <scheme val="minor"/>
      </rPr>
      <t>5</t>
    </r>
  </si>
  <si>
    <r>
      <rPr>
        <sz val="14"/>
        <color theme="1"/>
        <rFont val="Aptos Narrow"/>
        <family val="2"/>
        <scheme val="minor"/>
      </rPr>
      <t>B</t>
    </r>
    <r>
      <rPr>
        <b/>
        <sz val="14"/>
        <color theme="1"/>
        <rFont val="Aptos Narrow"/>
        <family val="2"/>
        <scheme val="minor"/>
      </rPr>
      <t xml:space="preserve">emestingsnormen (kg/ha) </t>
    </r>
  </si>
  <si>
    <t>Teeltomschrijving</t>
  </si>
  <si>
    <t>Beheer</t>
  </si>
  <si>
    <t>Gebiedstype</t>
  </si>
  <si>
    <t>Bodemtype</t>
  </si>
  <si>
    <t>Volledige beschrijving</t>
  </si>
  <si>
    <t>Fosfaatklasse</t>
  </si>
  <si>
    <t>I</t>
  </si>
  <si>
    <t>II</t>
  </si>
  <si>
    <t>III</t>
  </si>
  <si>
    <t>IV</t>
  </si>
  <si>
    <t>Wat is het bemestingsadvies (kg/ha) voor dit perceel?</t>
  </si>
  <si>
    <r>
      <t>P</t>
    </r>
    <r>
      <rPr>
        <b/>
        <vertAlign val="subscript"/>
        <sz val="12"/>
        <color theme="1"/>
        <rFont val="Aptos Narrow"/>
        <family val="2"/>
        <scheme val="minor"/>
      </rPr>
      <t>2</t>
    </r>
    <r>
      <rPr>
        <b/>
        <sz val="12"/>
        <color theme="1"/>
        <rFont val="Aptos Narrow"/>
        <family val="2"/>
        <scheme val="minor"/>
      </rPr>
      <t>O</t>
    </r>
    <r>
      <rPr>
        <b/>
        <vertAlign val="subscript"/>
        <sz val="12"/>
        <color theme="1"/>
        <rFont val="Aptos Narrow"/>
        <family val="2"/>
        <scheme val="minor"/>
      </rPr>
      <t>5</t>
    </r>
    <r>
      <rPr>
        <b/>
        <sz val="12"/>
        <color theme="1"/>
        <rFont val="Aptos Narrow"/>
        <family val="2"/>
        <scheme val="minor"/>
      </rPr>
      <t xml:space="preserve"> </t>
    </r>
  </si>
  <si>
    <r>
      <t>K</t>
    </r>
    <r>
      <rPr>
        <b/>
        <vertAlign val="subscript"/>
        <sz val="12"/>
        <color theme="1"/>
        <rFont val="Aptos Narrow"/>
        <family val="2"/>
        <scheme val="minor"/>
      </rPr>
      <t>2</t>
    </r>
    <r>
      <rPr>
        <b/>
        <sz val="12"/>
        <color theme="1"/>
        <rFont val="Aptos Narrow"/>
        <family val="2"/>
        <scheme val="minor"/>
      </rPr>
      <t xml:space="preserve">O </t>
    </r>
  </si>
  <si>
    <t>MgO</t>
  </si>
  <si>
    <t>CaO</t>
  </si>
  <si>
    <r>
      <t>Na</t>
    </r>
    <r>
      <rPr>
        <b/>
        <vertAlign val="subscript"/>
        <sz val="12"/>
        <color theme="1"/>
        <rFont val="Aptos Narrow"/>
        <family val="2"/>
        <scheme val="minor"/>
      </rPr>
      <t>2</t>
    </r>
    <r>
      <rPr>
        <b/>
        <sz val="12"/>
        <color theme="1"/>
        <rFont val="Aptos Narrow"/>
        <family val="2"/>
        <scheme val="minor"/>
      </rPr>
      <t>O</t>
    </r>
  </si>
  <si>
    <r>
      <t>SO</t>
    </r>
    <r>
      <rPr>
        <b/>
        <vertAlign val="subscript"/>
        <sz val="12"/>
        <color theme="1"/>
        <rFont val="Aptos Narrow"/>
        <family val="2"/>
        <scheme val="minor"/>
      </rPr>
      <t>3</t>
    </r>
    <r>
      <rPr>
        <b/>
        <sz val="12"/>
        <color theme="1"/>
        <rFont val="Aptos Narrow"/>
        <family val="2"/>
        <scheme val="minor"/>
      </rPr>
      <t xml:space="preserve"> </t>
    </r>
  </si>
  <si>
    <t>Beschrijving met vrijstelling</t>
  </si>
  <si>
    <t>Nee</t>
  </si>
  <si>
    <t>Best-beschikbare-technieken-voor-bemesting-en-maaien-van-grasland - LCV</t>
  </si>
  <si>
    <t>Welke meststoffen wens je in te zetten?</t>
  </si>
  <si>
    <t>Type mest:</t>
  </si>
  <si>
    <t>Meststof 1</t>
  </si>
  <si>
    <t>Forfaitair:</t>
  </si>
  <si>
    <t>Eigen analyse/meststof:</t>
  </si>
  <si>
    <t>N</t>
  </si>
  <si>
    <t>Werkingscoëfficiënt (%):</t>
  </si>
  <si>
    <t>Werkzaam:</t>
  </si>
  <si>
    <t>Meststof 2</t>
  </si>
  <si>
    <t>Meststof 3</t>
  </si>
  <si>
    <t>Meststof 4</t>
  </si>
  <si>
    <t>Officiële naam mest:</t>
  </si>
  <si>
    <t>Eigen naam mest:</t>
  </si>
  <si>
    <t>Meststof 5</t>
  </si>
  <si>
    <t>Meststof 6</t>
  </si>
  <si>
    <t>Meststoffenlijst</t>
  </si>
  <si>
    <t>Oppervlakte (ha)</t>
  </si>
  <si>
    <t>Naam perceel</t>
  </si>
  <si>
    <t>Algemene gegevens</t>
  </si>
  <si>
    <t>Als eigen naam mest of analysewaarden zijn ingevuld, worden deze ook gebruikt verder in de tool.</t>
  </si>
  <si>
    <t>Werkzame</t>
  </si>
  <si>
    <t xml:space="preserve">P2O5 </t>
  </si>
  <si>
    <t xml:space="preserve">K2O </t>
  </si>
  <si>
    <t>Na2O</t>
  </si>
  <si>
    <t xml:space="preserve">SO3 </t>
  </si>
  <si>
    <t>Bron</t>
  </si>
  <si>
    <t>Advies eigen analyse</t>
  </si>
  <si>
    <t>Algemeen advies</t>
  </si>
  <si>
    <t>Ja</t>
  </si>
  <si>
    <t>Vlinderbloemige aanwezig (minder N-bemesting nodig)</t>
  </si>
  <si>
    <t>Bodem</t>
  </si>
  <si>
    <t>Vlinderbloemige (voldoende aanwezig)</t>
  </si>
  <si>
    <t>Totaal</t>
  </si>
  <si>
    <t>1ste jaar na aanleg</t>
  </si>
  <si>
    <t>Bemesting per snede ook afhankelijk van gewicht per snede.</t>
  </si>
  <si>
    <t>N: fractioneren, minder bij voldoende vlinderbloemigen</t>
  </si>
  <si>
    <t>K: fractioneren, minder bij begrazing</t>
  </si>
  <si>
    <t>Na: eerder belangrijk bij beweiding</t>
  </si>
  <si>
    <t>S: vooral voor 1ste snede, eventueel 2de</t>
  </si>
  <si>
    <t>Benaming</t>
  </si>
  <si>
    <t>Bemesting per snede</t>
  </si>
  <si>
    <t>Naam meststof</t>
  </si>
  <si>
    <t>Voor 1ste snede</t>
  </si>
  <si>
    <t>Eenheid inhoud</t>
  </si>
  <si>
    <t>Eenheid</t>
  </si>
  <si>
    <t>Eenheid inhoud:</t>
  </si>
  <si>
    <t>Eenheid dosering</t>
  </si>
  <si>
    <r>
      <t>N</t>
    </r>
    <r>
      <rPr>
        <b/>
        <vertAlign val="subscript"/>
        <sz val="12"/>
        <color theme="1"/>
        <rFont val="Aptos Narrow"/>
        <family val="2"/>
        <scheme val="minor"/>
      </rPr>
      <t>dier</t>
    </r>
  </si>
  <si>
    <t>Ndier</t>
  </si>
  <si>
    <t>Nwz</t>
  </si>
  <si>
    <t>kg/kg</t>
  </si>
  <si>
    <t>kg</t>
  </si>
  <si>
    <t>AMMONIUMNITRAAT / KALKAMMONSALPETER</t>
  </si>
  <si>
    <t>AMMONIUMSULFAAT / ZWAVELZURE AMMONIAK</t>
  </si>
  <si>
    <t>Ammoniumsulfaat / Zwavelzure ammoniak</t>
  </si>
  <si>
    <t>KALKCYANAMIDE / KALKSTIKSTOF</t>
  </si>
  <si>
    <t>UREUM</t>
  </si>
  <si>
    <t>VLOEIBARE STIKSTOF</t>
  </si>
  <si>
    <t>Vloeibaar</t>
  </si>
  <si>
    <t>kg/L</t>
  </si>
  <si>
    <t>L</t>
  </si>
  <si>
    <r>
      <t>Haspargit 25 K</t>
    </r>
    <r>
      <rPr>
        <vertAlign val="subscript"/>
        <sz val="11"/>
        <color theme="1"/>
        <rFont val="Aptos Narrow"/>
        <family val="2"/>
        <scheme val="minor"/>
      </rPr>
      <t>2</t>
    </r>
    <r>
      <rPr>
        <sz val="11"/>
        <color theme="1"/>
        <rFont val="Aptos Narrow"/>
        <family val="2"/>
        <scheme val="minor"/>
      </rPr>
      <t>O + 10 CaO + 30 SO</t>
    </r>
    <r>
      <rPr>
        <vertAlign val="subscript"/>
        <sz val="11"/>
        <color theme="1"/>
        <rFont val="Aptos Narrow"/>
        <family val="2"/>
        <scheme val="minor"/>
      </rPr>
      <t>3</t>
    </r>
  </si>
  <si>
    <r>
      <t>Haspargit 15 K</t>
    </r>
    <r>
      <rPr>
        <vertAlign val="subscript"/>
        <sz val="11"/>
        <color theme="1"/>
        <rFont val="Aptos Narrow"/>
        <family val="2"/>
        <scheme val="minor"/>
      </rPr>
      <t>2</t>
    </r>
    <r>
      <rPr>
        <sz val="11"/>
        <color theme="1"/>
        <rFont val="Aptos Narrow"/>
        <family val="2"/>
        <scheme val="minor"/>
      </rPr>
      <t>O + 15 CaO + 45 SO</t>
    </r>
    <r>
      <rPr>
        <vertAlign val="subscript"/>
        <sz val="11"/>
        <color theme="1"/>
        <rFont val="Aptos Narrow"/>
        <family val="2"/>
        <scheme val="minor"/>
      </rPr>
      <t xml:space="preserve">3 + </t>
    </r>
    <r>
      <rPr>
        <sz val="11"/>
        <color theme="1"/>
        <rFont val="Aptos Narrow"/>
        <family val="2"/>
        <scheme val="minor"/>
      </rPr>
      <t>5 MgO</t>
    </r>
  </si>
  <si>
    <r>
      <t>Haspargit 18 K</t>
    </r>
    <r>
      <rPr>
        <vertAlign val="subscript"/>
        <sz val="11"/>
        <color theme="1"/>
        <rFont val="Aptos Narrow"/>
        <family val="2"/>
        <scheme val="minor"/>
      </rPr>
      <t>2</t>
    </r>
    <r>
      <rPr>
        <sz val="11"/>
        <color theme="1"/>
        <rFont val="Aptos Narrow"/>
        <family val="2"/>
        <scheme val="minor"/>
      </rPr>
      <t>O + 5 N + 5 CaO + 35 SO</t>
    </r>
    <r>
      <rPr>
        <vertAlign val="subscript"/>
        <sz val="11"/>
        <color theme="1"/>
        <rFont val="Aptos Narrow"/>
        <family val="2"/>
        <scheme val="minor"/>
      </rPr>
      <t>3 +</t>
    </r>
    <r>
      <rPr>
        <sz val="11"/>
        <color theme="1"/>
        <rFont val="Aptos Narrow"/>
        <family val="2"/>
        <scheme val="minor"/>
      </rPr>
      <t xml:space="preserve"> 4 Na</t>
    </r>
    <r>
      <rPr>
        <vertAlign val="subscript"/>
        <sz val="11"/>
        <color theme="1"/>
        <rFont val="Aptos Narrow"/>
        <family val="2"/>
        <scheme val="minor"/>
      </rPr>
      <t>2</t>
    </r>
    <r>
      <rPr>
        <sz val="11"/>
        <color theme="1"/>
        <rFont val="Aptos Narrow"/>
        <family val="2"/>
        <scheme val="minor"/>
      </rPr>
      <t>O</t>
    </r>
  </si>
  <si>
    <t>Werking% N 1ste snede na toepassing</t>
  </si>
  <si>
    <t>Werking% N 2de snede na toepassing</t>
  </si>
  <si>
    <t>Werking% N 3de snede na toepassing</t>
  </si>
  <si>
    <t>Werking% N 4de snede na toepassing</t>
  </si>
  <si>
    <r>
      <t>N</t>
    </r>
    <r>
      <rPr>
        <b/>
        <vertAlign val="subscript"/>
        <sz val="12"/>
        <color theme="1"/>
        <rFont val="Aptos Narrow"/>
        <family val="2"/>
        <scheme val="minor"/>
      </rPr>
      <t>voor2de</t>
    </r>
  </si>
  <si>
    <r>
      <t>N</t>
    </r>
    <r>
      <rPr>
        <b/>
        <vertAlign val="subscript"/>
        <sz val="12"/>
        <color theme="1"/>
        <rFont val="Aptos Narrow"/>
        <family val="2"/>
        <scheme val="minor"/>
      </rPr>
      <t>voor3de</t>
    </r>
  </si>
  <si>
    <r>
      <t>N</t>
    </r>
    <r>
      <rPr>
        <b/>
        <vertAlign val="subscript"/>
        <sz val="12"/>
        <color theme="1"/>
        <rFont val="Aptos Narrow"/>
        <family val="2"/>
        <scheme val="minor"/>
      </rPr>
      <t>voor4de</t>
    </r>
  </si>
  <si>
    <r>
      <t>N</t>
    </r>
    <r>
      <rPr>
        <b/>
        <vertAlign val="subscript"/>
        <sz val="12"/>
        <color theme="1"/>
        <rFont val="Aptos Narrow"/>
        <family val="2"/>
        <scheme val="minor"/>
      </rPr>
      <t>voor1stvolgende</t>
    </r>
  </si>
  <si>
    <t>N-vrijgave 1st volgende snede</t>
  </si>
  <si>
    <t>N-vrijgave 2de snede</t>
  </si>
  <si>
    <t>N-vrijgave 3de snede</t>
  </si>
  <si>
    <t>N-vrijgave 4de snede</t>
  </si>
  <si>
    <t>Voor 2de snede</t>
  </si>
  <si>
    <t>Voor 3de snede</t>
  </si>
  <si>
    <t>Voor 4de snede</t>
  </si>
  <si>
    <t>Voor 5de snede</t>
  </si>
  <si>
    <t>Voor 6de snede</t>
  </si>
  <si>
    <t>Totaal voor 1ste snede</t>
  </si>
  <si>
    <t>Totaal voor 2de snede</t>
  </si>
  <si>
    <t>Totaal voor 3de snede</t>
  </si>
  <si>
    <t>Totaal voor 4de snede</t>
  </si>
  <si>
    <t>Totaal voor 5de snede</t>
  </si>
  <si>
    <t>Totaal voor 6de snede</t>
  </si>
  <si>
    <t>NWZ deze snede</t>
  </si>
  <si>
    <t>P2O5</t>
  </si>
  <si>
    <t>2de snede</t>
  </si>
  <si>
    <t>3de snede</t>
  </si>
  <si>
    <t>4de snede</t>
  </si>
  <si>
    <t>Keuzelijst</t>
  </si>
  <si>
    <t>Per jaar</t>
  </si>
  <si>
    <t>Per snede</t>
  </si>
  <si>
    <t>TOTAAL BEMEST</t>
  </si>
  <si>
    <t>Percentage van advies bemest</t>
  </si>
  <si>
    <t>ADVIES</t>
  </si>
  <si>
    <t>Percentage bemest per snede van totaal bemest</t>
  </si>
  <si>
    <t>Algemeen advies per jaar</t>
  </si>
  <si>
    <t>Haspargit 25 K2O + 10 CaO + 30 SO3</t>
  </si>
  <si>
    <t>Haspargit 15 K2O + 15 CaO + 45 SO3 + 5 MgO</t>
  </si>
  <si>
    <t>Haspargit 18 K2O + 5 N + 5 CaO + 35 SO3 + 4 Na2O</t>
  </si>
  <si>
    <t>TYPE</t>
  </si>
  <si>
    <t>Meststof 7</t>
  </si>
  <si>
    <t>Meststof 8</t>
  </si>
  <si>
    <t>TOTAAL ADVIES</t>
  </si>
  <si>
    <t>Totaal advies eigen analyse</t>
  </si>
  <si>
    <t>Voor 1ste 2 snedes</t>
  </si>
  <si>
    <t>Toegediend per ha</t>
  </si>
  <si>
    <t>1st volgende snede</t>
  </si>
  <si>
    <t>N-vrijgave voor snede</t>
  </si>
  <si>
    <t>Regels in te bouwen in perceelsberekeningen</t>
  </si>
  <si>
    <t>Regels met betrekking tot bemestingsnormen</t>
  </si>
  <si>
    <t>1) Ndier -&gt; waarschuwing bij overschrijding 170 (oranje (mag tot 255 (150%) als totaal op bedrijf klopt)), vanaf 255 rood want mag niet</t>
  </si>
  <si>
    <t>Let op er werd geen rekening gehouden met eventuele verscherpingen wegens ligging binnen natuur.</t>
  </si>
  <si>
    <t>2) Nwz -&gt; standaard tabel uitgebreid met eventuele vrijstelling -&gt; waarschuwing bij overschreiding (oranje) en als 125% overschreden (rood)</t>
  </si>
  <si>
    <t>3) P -&gt; tabel o.b.v. klassen -&gt; waarschuwing bij overschreiding (rood) -&gt; wat met onderstaande uitzonderingen (extra kolommen maken voor berekening?)</t>
  </si>
  <si>
    <t>Regels met betrekking tot correcte hoeveelheid, verdeling en moment van bemestingen</t>
  </si>
  <si>
    <t>1) Bij aanwezigheid vlinderbloemigen (bv. grasklaver) advies N aanpassen -&gt; minder N en vooral voor eerste 2 snedes (kan via voorgestelde advies)</t>
  </si>
  <si>
    <t>2) N-bemesting fractioneren -&gt; hoe regel maken? Percentage N per snede op totaal moet tussen 2 waarden liggen anders waarschuwing?</t>
  </si>
  <si>
    <t>3) K-bemesting aanzienlijk lager bij beweiding -&gt; via voorgestelde advies</t>
  </si>
  <si>
    <t>4) K-bemesting fractioneren -&gt; Hoe regel maken? -&gt; Zie fractioneren N</t>
  </si>
  <si>
    <t>5) K-bemesting hoger op zandgrond wegens uitspoeling (reeds via advies)</t>
  </si>
  <si>
    <t>6) S-bemesting zoveel mogelijk voor 1ste en 2de snede -&gt; percentage som S-bemesting voor 1ste 2 snedes op totale S-bemesting hoger dan x%</t>
  </si>
  <si>
    <t>Gegevens begrazing</t>
  </si>
  <si>
    <t>Begrazingsnede</t>
  </si>
  <si>
    <t>Aantal grazende dieren</t>
  </si>
  <si>
    <t>Datum start begrazing</t>
  </si>
  <si>
    <t>Datum einde begrazing</t>
  </si>
  <si>
    <t>Bemesting via begrazing tijdens begrazingsbeurt</t>
  </si>
  <si>
    <t>Melkkoeien</t>
  </si>
  <si>
    <t>Diercategorie</t>
  </si>
  <si>
    <t>Andere runderen</t>
  </si>
  <si>
    <t>Melkproductie (kg melk/jaar)</t>
  </si>
  <si>
    <t>Maximaal 4000</t>
  </si>
  <si>
    <t>Vervangingsvee jonger dan 1 jaar (Melkvee)</t>
  </si>
  <si>
    <t>Vervangingsvee van 1 jaar tot 2 jaar (Melkvee)</t>
  </si>
  <si>
    <t>Zoogkoeien (Mestvee)</t>
  </si>
  <si>
    <t>Mestkalveren (Mestvee)</t>
  </si>
  <si>
    <t>Runderen jonger dan 1 jaar (Mestvee)</t>
  </si>
  <si>
    <t>Runderen van 1 tot 2 jaar (Mestvee)</t>
  </si>
  <si>
    <t>4000 tot 4250</t>
  </si>
  <si>
    <t>4250 tot 4500</t>
  </si>
  <si>
    <t>4500 tot 4750</t>
  </si>
  <si>
    <t>4750 tot 5000</t>
  </si>
  <si>
    <t>5000 tot 5250</t>
  </si>
  <si>
    <t>5250 tot 5500</t>
  </si>
  <si>
    <t>5500 tot 5750</t>
  </si>
  <si>
    <t>5750 tot 6000</t>
  </si>
  <si>
    <t>6000 tot 6250</t>
  </si>
  <si>
    <t>6250 tot 6500</t>
  </si>
  <si>
    <t>6500 tot 6750</t>
  </si>
  <si>
    <t>6750 tot 7000</t>
  </si>
  <si>
    <t>7000 tot 7250</t>
  </si>
  <si>
    <t>7250 tot 7500</t>
  </si>
  <si>
    <t>7500 tot 7750</t>
  </si>
  <si>
    <t>7750 tot 8000</t>
  </si>
  <si>
    <t>8000 tot 8250</t>
  </si>
  <si>
    <t>8250 tot 8500</t>
  </si>
  <si>
    <t>8500 tot 8750</t>
  </si>
  <si>
    <t>8750 tot 9000</t>
  </si>
  <si>
    <t>9000 tot 9250</t>
  </si>
  <si>
    <t>9500 tot 9750</t>
  </si>
  <si>
    <t>9750 tot 10000</t>
  </si>
  <si>
    <t>Hoger dan 10000</t>
  </si>
  <si>
    <t>9250 tot 9500</t>
  </si>
  <si>
    <t>P2O5_uitscheiding</t>
  </si>
  <si>
    <t>N_uitscheiding</t>
  </si>
  <si>
    <t>Helperkolom_diercategorie</t>
  </si>
  <si>
    <t>Uitscheiding kg/dier/jaar</t>
  </si>
  <si>
    <t>Aantal snedes</t>
  </si>
  <si>
    <t>Verwacht aantal snedes</t>
  </si>
  <si>
    <t>Uren begrazing per dag</t>
  </si>
  <si>
    <t>Waarvan begrazingssnedes</t>
  </si>
  <si>
    <t>Aantal begrazingssnedes</t>
  </si>
  <si>
    <t>Ruw eiwit (g/kg DS)</t>
  </si>
  <si>
    <t>DS-opbrengst (kg/ha)</t>
  </si>
  <si>
    <t>1ste snede</t>
  </si>
  <si>
    <t>5de snede</t>
  </si>
  <si>
    <t>6de snede</t>
  </si>
  <si>
    <t>N-afvoer gras (kg/ha)</t>
  </si>
  <si>
    <t>Schatting benodigde N-bemesting</t>
  </si>
  <si>
    <t>NUE (Ngras/Nwzbemest)</t>
  </si>
  <si>
    <t>NUE (Ngras/Ntotaalbemest)</t>
  </si>
  <si>
    <t>N-totaal</t>
  </si>
  <si>
    <t>Totaal N</t>
  </si>
  <si>
    <t>%</t>
  </si>
  <si>
    <t>Datum toepassing</t>
  </si>
  <si>
    <t>Kruidenrijk</t>
  </si>
  <si>
    <t>Toe te dienen op volledige oppervlakte perceel</t>
  </si>
  <si>
    <t>Kostrpijs bemesting (EUR/ha)</t>
  </si>
  <si>
    <t>Kostprijs</t>
  </si>
  <si>
    <t>Kostrpijs bemesting (EUR)</t>
  </si>
  <si>
    <t>TOTAAL</t>
  </si>
  <si>
    <t>&gt; tenzij uitzondering als dierlijke mest enkel bestaat uit vaste mest zoals stalmest, champost en boerderijcompost of meststoffen opgebracht via rechtstreekse uitscheiding bij begrazing, dan tot 340 (200%) (deze uitzondering is nog niet toegevoegd</t>
  </si>
  <si>
    <t>Nwerkzaam uit bemesting vorige snede</t>
  </si>
  <si>
    <t>Nwerkzaam uit bemesting vorige snedes</t>
  </si>
  <si>
    <t>Komt pas vrij na 6de snede</t>
  </si>
  <si>
    <t>Deze bemestingstool werd ontwikkeld binnen het demoproject "Graskracht". De tool helpt een correct bemestingschema op te stellen specifiek voor grasland en grasmengsels met vlinderbloemigen en/of kruiden. Deze werd initieel ontwikkeld als hulpmiddel voor adviseurs, maar kan eveneens door de geïnteresseerde landbouwer worden gebruikt als hulpmiddel.</t>
  </si>
  <si>
    <t>Stap 1: Toevoegen van de te gebruiken meststoffen</t>
  </si>
  <si>
    <t>Enkel de cellen met onderstaande kleuren dienen ingevuld te worden.</t>
  </si>
  <si>
    <t>Gele cellen moeten worden ingevuld om correcte adviezen en berekeningen van de bemesting te verkrijgen.</t>
  </si>
  <si>
    <t>Stap 2: Vul algemene perceelsinformatie in</t>
  </si>
  <si>
    <t>Stap 3: Controleer het voorgestelde advies en wijzig indien nodig</t>
  </si>
  <si>
    <t>In te zetten messtoffen:</t>
  </si>
  <si>
    <t>Stap 4: Indien begrazing, vul dan ook hier de nodige cijfers van in</t>
  </si>
  <si>
    <t>Onder gegevens begrazing kan je invullen hoeveel runderen voor welke periode en duur per dag aan begrazing deden per snede. Hieruit wordt er automatisch een N- en  P-uitscheiding berekend (zoals te zien onderaan bij de "te gebruiken meststoffen), die later dan ook als bemesting kan worden ingevuld.</t>
  </si>
  <si>
    <t>Stap 5: Bemesting invullen</t>
  </si>
  <si>
    <t>Na alle benodigde gegevens in te vullen, kan er aan de effectieve bemesting worden gestart. Vul per snede de gele cellen in met de toe te dienen meststof en hoeveelheid. Onderaan het tablad kan je controleren hoe de zelf ingevulde bemesting overeenkomt met het voorziene advies via een tabel of de beschikbare grafieken. Pas aan de hand daarvan de bemesting aan om verder te optimaliseren. Aan de linkerkant wordt er eveneens een overzicht gegeven van de kostprijs van het bemestingsschema.</t>
  </si>
  <si>
    <t>Oogstgegevens:</t>
  </si>
  <si>
    <t>Stap 6: Oogstgegevens invullen en NUE bepalen</t>
  </si>
  <si>
    <t>Vrijstelling gebiedsgerichte maatregelen</t>
  </si>
  <si>
    <t>Vul het tabblad "Te gebruiken meststoffen" steeds van boven naar onder in. Zo wordt de volgorde van de keuzelijsten gerespecteerd. Dus vul eerst "Type mest" in en erna de "Officiële benaming". Indien je een alternatieve benaming wenst te gebruiken i.p.v. de officiële benaming, kan je deze invullen in de lichtgele cellen in het linkergedeelte van het tabblad. In het rechtergedeelte kan er ook steeds een alternatieve samenstelling worden ingegeven van bv. een eigen mestanalyse. Wanneer je 2 putten met verschillende inhoud hebt, kan je deze beide een "Eigen naam" geven en bijhorende inhoud invullen. Kostprijzen kunnen eveneens per mestsoort worden toegevoegd. Let echter op de eenheid, voor een correcte berekening later in de tool.</t>
  </si>
  <si>
    <t>Lichtgele cellen kunnen voorwaardelijk worden ingevuld. Deze cellen zijn niet essentieel voor de berekeningen, maar wanneer ingevuld worden deze benamingen/waarden wel gebruikt in de verdere berekeningen.</t>
  </si>
  <si>
    <t xml:space="preserve"> Bekijk het voorgestelde advies en vergelijk dit eventueel met andere adviezen zoals deze bij je bodemanalyses. Indien nodig kan je dan een eigen advies invullen in de lichtgele cellen. Via de gele cel kan je kiezen of je een advies per jaar invult of per snede.</t>
  </si>
  <si>
    <t>Na het invullen van het tabblad " Te gebruiken meststoffen" kan je naar de volgende tabbladen gaan voor de bemestingschema's per perceel (zoals "Perceel_1"). Om correcte adviezen voor te stellen en de juiste bemestingsnormen weer te geven, dienen er enkele algemene perceelsgegevens ingevuld te worden in de gele cellen via keuzelijstjes.</t>
  </si>
  <si>
    <t xml:space="preserve">De NUE of Nitrogen Use Efficiency is een kengetal voor de bruto stikstofefficiëntie van het perceel. Dit betekent de verhouding waarin er stikstof wordt geoogst in de vorm van eiwit in het gras per hoeveelheid stikstof die via bemesting werd toegediend. Dit kengetal kan je automatisch laten berekenen door de oogstgegevens in te vullen.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</si>
</sst>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29" x14ac:knownFonts="1">
    <font>
      <sz val="11"/>
      <color theme="1"/>
      <name val="Aptos Narrow"/>
      <family val="2"/>
      <scheme val="minor"/>
    </font>
    <font>
      <sz val="8"/>
      <name val="Aptos Narrow"/>
      <family val="2"/>
      <scheme val="minor"/>
    </font>
    <font>
      <sz val="11"/>
      <color theme="1"/>
      <name val="Aptos Narrow"/>
      <family val="2"/>
      <scheme val="minor"/>
    </font>
    <font>
      <b/>
      <sz val="11"/>
      <color theme="1"/>
      <name val="Aptos Narrow"/>
      <family val="2"/>
      <scheme val="minor"/>
    </font>
    <font>
      <b/>
      <u/>
      <sz val="11"/>
      <color theme="1"/>
      <name val="Aptos Narrow"/>
      <family val="2"/>
      <scheme val="minor"/>
    </font>
    <font>
      <b/>
      <sz val="11"/>
      <name val="Aptos Narrow"/>
      <family val="2"/>
      <scheme val="minor"/>
    </font>
    <font>
      <sz val="11"/>
      <name val="Aptos Narrow"/>
      <family val="2"/>
      <scheme val="minor"/>
    </font>
    <font>
      <sz val="12"/>
      <color theme="1"/>
      <name val="Aptos Narrow"/>
      <family val="2"/>
      <charset val="134"/>
      <scheme val="minor"/>
    </font>
    <font>
      <sz val="10"/>
      <color rgb="FF000000"/>
      <name val="Times New Roman"/>
      <family val="1"/>
    </font>
    <font>
      <b/>
      <u/>
      <sz val="11"/>
      <name val="Aptos Narrow"/>
      <family val="2"/>
      <scheme val="minor"/>
    </font>
    <font>
      <b/>
      <vertAlign val="subscript"/>
      <sz val="11"/>
      <name val="Aptos Narrow"/>
      <family val="2"/>
      <scheme val="minor"/>
    </font>
    <font>
      <b/>
      <sz val="9"/>
      <name val="Aptos Narrow"/>
      <family val="2"/>
      <scheme val="minor"/>
    </font>
    <font>
      <sz val="10"/>
      <name val="Arial"/>
      <family val="2"/>
    </font>
    <font>
      <sz val="12"/>
      <color theme="1"/>
      <name val="Aptos Narrow"/>
      <family val="2"/>
      <scheme val="minor"/>
    </font>
    <font>
      <b/>
      <sz val="14"/>
      <color theme="1"/>
      <name val="Aptos Narrow"/>
      <family val="2"/>
      <scheme val="minor"/>
    </font>
    <font>
      <b/>
      <sz val="12"/>
      <color theme="1"/>
      <name val="Aptos Narrow"/>
      <family val="2"/>
      <scheme val="minor"/>
    </font>
    <font>
      <b/>
      <vertAlign val="subscript"/>
      <sz val="12"/>
      <color theme="1"/>
      <name val="Aptos Narrow"/>
      <family val="2"/>
      <scheme val="minor"/>
    </font>
    <font>
      <sz val="14"/>
      <color theme="1"/>
      <name val="Aptos Narrow"/>
      <family val="2"/>
      <scheme val="minor"/>
    </font>
    <font>
      <u/>
      <sz val="11"/>
      <color theme="2" tint="-0.499984740745262"/>
      <name val="Aptos Narrow"/>
      <family val="2"/>
      <scheme val="minor"/>
    </font>
    <font>
      <sz val="14"/>
      <color rgb="FF000000"/>
      <name val="Times New Roman"/>
      <family val="1"/>
    </font>
    <font>
      <sz val="11"/>
      <color rgb="FFFF0000"/>
      <name val="Aptos Narrow"/>
      <family val="2"/>
      <scheme val="minor"/>
    </font>
    <font>
      <sz val="11"/>
      <color theme="2" tint="-0.249977111117893"/>
      <name val="Aptos Narrow"/>
      <family val="2"/>
      <scheme val="minor"/>
    </font>
    <font>
      <sz val="11"/>
      <color theme="2" tint="-0.499984740745262"/>
      <name val="Aptos Narrow"/>
      <family val="2"/>
      <scheme val="minor"/>
    </font>
    <font>
      <sz val="10"/>
      <color theme="1"/>
      <name val="Arial"/>
      <family val="2"/>
    </font>
    <font>
      <vertAlign val="subscript"/>
      <sz val="11"/>
      <color theme="1"/>
      <name val="Aptos Narrow"/>
      <family val="2"/>
      <scheme val="minor"/>
    </font>
    <font>
      <sz val="12"/>
      <color rgb="FFFF0000"/>
      <name val="Aptos Narrow"/>
      <family val="2"/>
      <scheme val="minor"/>
    </font>
    <font>
      <sz val="11"/>
      <color theme="0" tint="-0.249977111117893"/>
      <name val="Aptos Narrow"/>
      <family val="2"/>
      <scheme val="minor"/>
    </font>
    <font>
      <sz val="11"/>
      <color theme="0"/>
      <name val="Aptos Narrow"/>
      <family val="2"/>
      <scheme val="minor"/>
    </font>
    <font>
      <u/>
      <sz val="11"/>
      <color theme="0"/>
      <name val="Aptos Narrow"/>
      <family val="2"/>
      <scheme val="minor"/>
    </font>
  </fonts>
  <fills count="8">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FFCC"/>
        <bgColor indexed="64"/>
      </patternFill>
    </fill>
    <fill>
      <patternFill patternType="solid">
        <fgColor theme="9" tint="0.39997558519241921"/>
        <bgColor indexed="64"/>
      </patternFill>
    </fill>
    <fill>
      <patternFill patternType="solid">
        <fgColor rgb="FF8ED973"/>
        <bgColor indexed="64"/>
      </patternFill>
    </fill>
    <fill>
      <patternFill patternType="solid">
        <fgColor rgb="FFFFC0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7">
    <xf numFmtId="0" fontId="0" fillId="0" borderId="0"/>
    <xf numFmtId="9" fontId="2" fillId="0" borderId="0" applyFont="0" applyFill="0" applyBorder="0" applyAlignment="0" applyProtection="0"/>
    <xf numFmtId="0" fontId="2" fillId="0" borderId="0"/>
    <xf numFmtId="0" fontId="7" fillId="0" borderId="0"/>
    <xf numFmtId="0" fontId="8" fillId="0" borderId="0"/>
    <xf numFmtId="0" fontId="13" fillId="0" borderId="0"/>
    <xf numFmtId="0" fontId="2" fillId="0" borderId="0"/>
  </cellStyleXfs>
  <cellXfs count="232">
    <xf numFmtId="0" fontId="0" fillId="0" borderId="0" xfId="0"/>
    <xf numFmtId="0" fontId="0" fillId="0" borderId="0" xfId="0" applyAlignment="1">
      <alignment horizontal="center"/>
    </xf>
    <xf numFmtId="0" fontId="0" fillId="2" borderId="0" xfId="0" applyFill="1"/>
    <xf numFmtId="0" fontId="4" fillId="0" borderId="0" xfId="0" applyFont="1" applyAlignment="1">
      <alignment horizontal="center"/>
    </xf>
    <xf numFmtId="0" fontId="3" fillId="0" borderId="0" xfId="0" applyFont="1"/>
    <xf numFmtId="0" fontId="5" fillId="0" borderId="0" xfId="2" applyFont="1" applyAlignment="1">
      <alignment horizontal="center" vertical="center" wrapText="1"/>
    </xf>
    <xf numFmtId="0" fontId="6" fillId="0" borderId="0" xfId="2" applyFont="1" applyAlignment="1">
      <alignment horizontal="center" vertical="center" wrapText="1"/>
    </xf>
    <xf numFmtId="0" fontId="6" fillId="0" borderId="0" xfId="0" applyFont="1" applyAlignment="1">
      <alignment horizontal="center"/>
    </xf>
    <xf numFmtId="0" fontId="5" fillId="0" borderId="0" xfId="2" applyFont="1" applyAlignment="1">
      <alignment horizontal="center" vertical="center"/>
    </xf>
    <xf numFmtId="0" fontId="6" fillId="0" borderId="0" xfId="2" quotePrefix="1" applyFont="1" applyAlignment="1">
      <alignment horizontal="center" vertical="center"/>
    </xf>
    <xf numFmtId="0" fontId="6" fillId="0" borderId="0" xfId="2" applyFont="1" applyAlignment="1">
      <alignment horizontal="center" vertical="center"/>
    </xf>
    <xf numFmtId="0" fontId="6" fillId="0" borderId="0" xfId="2" applyFont="1" applyAlignment="1">
      <alignment vertical="top"/>
    </xf>
    <xf numFmtId="0" fontId="5" fillId="0" borderId="0" xfId="2" applyFont="1" applyAlignment="1">
      <alignment horizontal="center" vertical="top" wrapText="1"/>
    </xf>
    <xf numFmtId="0" fontId="11" fillId="0" borderId="0" xfId="3" applyFont="1" applyAlignment="1">
      <alignment horizontal="center" vertical="center" wrapText="1"/>
    </xf>
    <xf numFmtId="0" fontId="11" fillId="0" borderId="0" xfId="2" applyFont="1" applyAlignment="1">
      <alignment horizontal="center" vertical="center" wrapText="1"/>
    </xf>
    <xf numFmtId="0" fontId="11" fillId="0" borderId="0" xfId="2" applyFont="1" applyAlignment="1">
      <alignment vertical="top" wrapText="1"/>
    </xf>
    <xf numFmtId="0" fontId="6" fillId="0" borderId="0" xfId="4" applyFont="1" applyAlignment="1">
      <alignment horizontal="center" vertical="center"/>
    </xf>
    <xf numFmtId="0" fontId="6" fillId="0" borderId="0" xfId="2" applyFont="1" applyAlignment="1">
      <alignment vertical="top" wrapText="1"/>
    </xf>
    <xf numFmtId="0" fontId="6" fillId="0" borderId="0" xfId="2" applyFont="1" applyAlignment="1">
      <alignment horizontal="center" vertical="top"/>
    </xf>
    <xf numFmtId="0" fontId="6" fillId="0" borderId="0" xfId="3" applyFont="1" applyAlignment="1">
      <alignment horizontal="center" vertical="center"/>
    </xf>
    <xf numFmtId="0" fontId="12" fillId="0" borderId="0" xfId="3" applyFont="1" applyAlignment="1">
      <alignment horizontal="center" vertical="center"/>
    </xf>
    <xf numFmtId="0" fontId="6" fillId="0" borderId="0" xfId="0" applyFont="1"/>
    <xf numFmtId="0" fontId="6" fillId="0" borderId="0" xfId="2" applyFont="1" applyAlignment="1">
      <alignment horizontal="left" vertical="top" wrapText="1"/>
    </xf>
    <xf numFmtId="0" fontId="6" fillId="0" borderId="0" xfId="2" applyFont="1" applyAlignment="1">
      <alignment horizontal="center" vertical="top" wrapText="1"/>
    </xf>
    <xf numFmtId="164" fontId="6" fillId="0" borderId="0" xfId="2" applyNumberFormat="1" applyFont="1" applyAlignment="1">
      <alignment horizontal="center" vertical="top" wrapText="1"/>
    </xf>
    <xf numFmtId="0" fontId="6" fillId="0" borderId="0" xfId="4" applyFont="1" applyAlignment="1">
      <alignment horizontal="center" vertical="center" wrapText="1"/>
    </xf>
    <xf numFmtId="165" fontId="6" fillId="0" borderId="0" xfId="4" applyNumberFormat="1" applyFont="1" applyAlignment="1">
      <alignment horizontal="center" vertical="center" wrapText="1"/>
    </xf>
    <xf numFmtId="166" fontId="6" fillId="0" borderId="0" xfId="2" applyNumberFormat="1" applyFont="1" applyAlignment="1">
      <alignment horizontal="center" vertical="top"/>
    </xf>
    <xf numFmtId="166" fontId="6" fillId="0" borderId="0" xfId="2" applyNumberFormat="1" applyFont="1" applyAlignment="1">
      <alignment horizontal="center" vertical="center"/>
    </xf>
    <xf numFmtId="0" fontId="14" fillId="0" borderId="0" xfId="5" applyFont="1"/>
    <xf numFmtId="0" fontId="15" fillId="0" borderId="0" xfId="5" applyFont="1" applyAlignment="1">
      <alignment horizontal="center" vertical="center"/>
    </xf>
    <xf numFmtId="0" fontId="0" fillId="0" borderId="0" xfId="0" applyAlignment="1">
      <alignment horizontal="left" vertical="center"/>
    </xf>
    <xf numFmtId="0" fontId="18" fillId="0" borderId="0" xfId="0" applyFont="1"/>
    <xf numFmtId="0" fontId="15" fillId="0" borderId="0" xfId="5" applyFont="1" applyAlignment="1">
      <alignment horizontal="center" vertical="top"/>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17" xfId="0" applyBorder="1"/>
    <xf numFmtId="0" fontId="15" fillId="6" borderId="1" xfId="5" applyFont="1" applyFill="1" applyBorder="1" applyAlignment="1">
      <alignment horizontal="center" vertical="top"/>
    </xf>
    <xf numFmtId="0" fontId="20" fillId="0" borderId="0" xfId="0" applyFont="1"/>
    <xf numFmtId="0" fontId="0" fillId="0" borderId="18" xfId="0" applyBorder="1"/>
    <xf numFmtId="0" fontId="13" fillId="4" borderId="1" xfId="5" applyFill="1" applyBorder="1" applyAlignment="1" applyProtection="1">
      <alignment horizontal="center" vertical="center"/>
      <protection locked="0"/>
    </xf>
    <xf numFmtId="0" fontId="21" fillId="0" borderId="0" xfId="0" applyFont="1"/>
    <xf numFmtId="0" fontId="22" fillId="0" borderId="0" xfId="0" applyFont="1"/>
    <xf numFmtId="0" fontId="3" fillId="6" borderId="21" xfId="0" applyFont="1" applyFill="1" applyBorder="1"/>
    <xf numFmtId="0" fontId="15" fillId="6" borderId="22" xfId="5" applyFont="1" applyFill="1" applyBorder="1" applyAlignment="1">
      <alignment horizontal="center" vertical="top"/>
    </xf>
    <xf numFmtId="0" fontId="13" fillId="0" borderId="1" xfId="5" applyBorder="1" applyAlignment="1" applyProtection="1">
      <alignment horizontal="center" vertical="center"/>
      <protection locked="0"/>
    </xf>
    <xf numFmtId="1" fontId="0" fillId="0" borderId="3" xfId="0" applyNumberFormat="1" applyBorder="1"/>
    <xf numFmtId="1" fontId="0" fillId="0" borderId="4" xfId="0" applyNumberFormat="1" applyBorder="1"/>
    <xf numFmtId="1" fontId="0" fillId="0" borderId="0" xfId="0" applyNumberFormat="1"/>
    <xf numFmtId="1" fontId="0" fillId="0" borderId="18" xfId="0" applyNumberFormat="1" applyBorder="1"/>
    <xf numFmtId="1" fontId="0" fillId="0" borderId="6" xfId="0" applyNumberFormat="1" applyBorder="1"/>
    <xf numFmtId="1" fontId="0" fillId="0" borderId="7" xfId="0" applyNumberFormat="1" applyBorder="1"/>
    <xf numFmtId="0" fontId="3" fillId="6" borderId="22" xfId="5" applyFont="1" applyFill="1" applyBorder="1" applyAlignment="1">
      <alignment horizontal="left"/>
    </xf>
    <xf numFmtId="0" fontId="15" fillId="6" borderId="23" xfId="5" applyFont="1" applyFill="1" applyBorder="1" applyAlignment="1">
      <alignment horizontal="center" vertical="top"/>
    </xf>
    <xf numFmtId="0" fontId="2" fillId="0" borderId="0" xfId="2" applyAlignment="1">
      <alignment horizontal="center" vertical="center" wrapText="1"/>
    </xf>
    <xf numFmtId="0" fontId="2" fillId="0" borderId="0" xfId="2" applyAlignment="1">
      <alignment horizontal="center" vertical="center"/>
    </xf>
    <xf numFmtId="0" fontId="2" fillId="0" borderId="0" xfId="5" applyFont="1" applyAlignment="1">
      <alignment horizontal="left"/>
    </xf>
    <xf numFmtId="0" fontId="3" fillId="0" borderId="0" xfId="2" applyFont="1" applyAlignment="1">
      <alignment horizontal="center" vertical="top"/>
    </xf>
    <xf numFmtId="0" fontId="2" fillId="0" borderId="0" xfId="2" applyAlignment="1">
      <alignment horizontal="center" vertical="top"/>
    </xf>
    <xf numFmtId="0" fontId="2" fillId="0" borderId="0" xfId="0" applyFont="1" applyAlignment="1">
      <alignment horizontal="center" vertical="top"/>
    </xf>
    <xf numFmtId="0" fontId="2" fillId="0" borderId="0" xfId="5" applyFont="1" applyAlignment="1">
      <alignment horizontal="center"/>
    </xf>
    <xf numFmtId="0" fontId="2" fillId="0" borderId="0" xfId="3" applyFont="1" applyAlignment="1">
      <alignment horizontal="center" vertical="center"/>
    </xf>
    <xf numFmtId="0" fontId="23" fillId="0" borderId="0" xfId="3" applyFont="1" applyAlignment="1">
      <alignment horizontal="center" vertical="center"/>
    </xf>
    <xf numFmtId="0" fontId="2" fillId="0" borderId="0" xfId="0" applyFont="1" applyAlignment="1">
      <alignment vertical="top"/>
    </xf>
    <xf numFmtId="0" fontId="3" fillId="0" borderId="0" xfId="0" applyFont="1" applyAlignment="1">
      <alignment horizontal="center" vertical="top"/>
    </xf>
    <xf numFmtId="0" fontId="2" fillId="0" borderId="0" xfId="0" applyFont="1" applyAlignment="1">
      <alignment horizontal="center" vertical="center"/>
    </xf>
    <xf numFmtId="0" fontId="2" fillId="0" borderId="0" xfId="3" applyFont="1" applyAlignment="1">
      <alignment vertical="top"/>
    </xf>
    <xf numFmtId="0" fontId="2" fillId="0" borderId="0" xfId="3" applyFont="1" applyAlignment="1">
      <alignment horizontal="center" vertical="top"/>
    </xf>
    <xf numFmtId="0" fontId="2" fillId="0" borderId="0" xfId="2" applyAlignment="1">
      <alignment horizontal="center" vertical="top" wrapText="1"/>
    </xf>
    <xf numFmtId="1" fontId="6" fillId="0" borderId="0" xfId="2" applyNumberFormat="1" applyFont="1" applyAlignment="1">
      <alignment vertical="top"/>
    </xf>
    <xf numFmtId="0" fontId="15" fillId="5" borderId="0" xfId="5" applyFont="1" applyFill="1" applyAlignment="1">
      <alignment horizontal="center" vertical="top"/>
    </xf>
    <xf numFmtId="0" fontId="0" fillId="0" borderId="21" xfId="0" applyBorder="1"/>
    <xf numFmtId="0" fontId="0" fillId="0" borderId="22" xfId="0" applyBorder="1"/>
    <xf numFmtId="0" fontId="0" fillId="0" borderId="23" xfId="0" applyBorder="1"/>
    <xf numFmtId="2" fontId="0" fillId="0" borderId="0" xfId="0" applyNumberFormat="1"/>
    <xf numFmtId="1" fontId="3" fillId="6" borderId="22" xfId="5" applyNumberFormat="1" applyFont="1" applyFill="1" applyBorder="1" applyAlignment="1">
      <alignment horizontal="left"/>
    </xf>
    <xf numFmtId="0" fontId="3" fillId="6" borderId="23" xfId="5" applyFont="1" applyFill="1" applyBorder="1" applyAlignment="1">
      <alignment horizontal="left"/>
    </xf>
    <xf numFmtId="0" fontId="15" fillId="6" borderId="0" xfId="5" applyFont="1" applyFill="1" applyAlignment="1">
      <alignment horizontal="center" vertical="top"/>
    </xf>
    <xf numFmtId="0" fontId="15" fillId="6" borderId="21" xfId="5" applyFont="1" applyFill="1" applyBorder="1" applyAlignment="1">
      <alignment horizontal="center" vertical="top"/>
    </xf>
    <xf numFmtId="1" fontId="18" fillId="0" borderId="0" xfId="0" applyNumberFormat="1" applyFont="1"/>
    <xf numFmtId="0" fontId="3" fillId="6" borderId="0" xfId="0" applyFont="1" applyFill="1"/>
    <xf numFmtId="0" fontId="13" fillId="0" borderId="0" xfId="0" applyFont="1"/>
    <xf numFmtId="0" fontId="0" fillId="0" borderId="1" xfId="0" applyBorder="1"/>
    <xf numFmtId="0" fontId="0" fillId="4" borderId="1" xfId="5" applyFont="1" applyFill="1" applyBorder="1" applyAlignment="1" applyProtection="1">
      <alignment horizontal="center" vertical="center"/>
      <protection locked="0"/>
    </xf>
    <xf numFmtId="0" fontId="3" fillId="0" borderId="2" xfId="0" applyFont="1" applyBorder="1"/>
    <xf numFmtId="0" fontId="3" fillId="0" borderId="4" xfId="0" applyFont="1" applyBorder="1"/>
    <xf numFmtId="9" fontId="0" fillId="0" borderId="17" xfId="1" applyFont="1" applyBorder="1"/>
    <xf numFmtId="9" fontId="0" fillId="0" borderId="18" xfId="1" applyFont="1" applyBorder="1"/>
    <xf numFmtId="0" fontId="3" fillId="0" borderId="5" xfId="0" applyFont="1" applyBorder="1"/>
    <xf numFmtId="9" fontId="0" fillId="0" borderId="7" xfId="1" applyFont="1" applyBorder="1"/>
    <xf numFmtId="0" fontId="3" fillId="0" borderId="24" xfId="0" applyFont="1" applyBorder="1"/>
    <xf numFmtId="0" fontId="0" fillId="0" borderId="19" xfId="0" applyBorder="1"/>
    <xf numFmtId="0" fontId="0" fillId="0" borderId="20" xfId="0" applyBorder="1"/>
    <xf numFmtId="0" fontId="3" fillId="0" borderId="17" xfId="0" applyFont="1" applyBorder="1"/>
    <xf numFmtId="0" fontId="25" fillId="0" borderId="0" xfId="5" applyFont="1" applyAlignment="1">
      <alignment horizontal="left"/>
    </xf>
    <xf numFmtId="2" fontId="0" fillId="0" borderId="1" xfId="0" applyNumberFormat="1" applyBorder="1"/>
    <xf numFmtId="0" fontId="3" fillId="6" borderId="11" xfId="0" applyFont="1" applyFill="1" applyBorder="1"/>
    <xf numFmtId="0" fontId="3" fillId="6" borderId="13" xfId="0" applyFont="1" applyFill="1" applyBorder="1"/>
    <xf numFmtId="0" fontId="3" fillId="6" borderId="13" xfId="0" applyFont="1" applyFill="1" applyBorder="1" applyAlignment="1">
      <alignment wrapText="1"/>
    </xf>
    <xf numFmtId="0" fontId="3" fillId="6" borderId="15" xfId="0" applyFont="1" applyFill="1" applyBorder="1"/>
    <xf numFmtId="0" fontId="0" fillId="0" borderId="25" xfId="0" applyBorder="1"/>
    <xf numFmtId="2" fontId="0" fillId="0" borderId="25" xfId="0" applyNumberFormat="1" applyBorder="1"/>
    <xf numFmtId="0" fontId="15" fillId="5" borderId="22" xfId="5" applyFont="1" applyFill="1" applyBorder="1" applyAlignment="1">
      <alignment horizontal="center" vertical="top"/>
    </xf>
    <xf numFmtId="0" fontId="15" fillId="5" borderId="23" xfId="5" applyFont="1" applyFill="1" applyBorder="1" applyAlignment="1">
      <alignment horizontal="center" vertical="top"/>
    </xf>
    <xf numFmtId="0" fontId="3" fillId="6" borderId="22" xfId="0" applyFont="1" applyFill="1" applyBorder="1"/>
    <xf numFmtId="0" fontId="3" fillId="6" borderId="6" xfId="5" applyFont="1" applyFill="1" applyBorder="1" applyAlignment="1">
      <alignment horizontal="left"/>
    </xf>
    <xf numFmtId="1" fontId="3" fillId="6" borderId="6" xfId="5" applyNumberFormat="1" applyFont="1" applyFill="1" applyBorder="1" applyAlignment="1">
      <alignment horizontal="left"/>
    </xf>
    <xf numFmtId="1" fontId="3" fillId="6" borderId="7" xfId="5" applyNumberFormat="1" applyFont="1" applyFill="1" applyBorder="1" applyAlignment="1">
      <alignment horizontal="left"/>
    </xf>
    <xf numFmtId="1" fontId="3" fillId="6" borderId="23" xfId="5" applyNumberFormat="1" applyFont="1" applyFill="1" applyBorder="1" applyAlignment="1">
      <alignment horizontal="left"/>
    </xf>
    <xf numFmtId="0" fontId="0" fillId="0" borderId="26" xfId="0" applyBorder="1"/>
    <xf numFmtId="1" fontId="0" fillId="0" borderId="27" xfId="0" applyNumberFormat="1" applyBorder="1"/>
    <xf numFmtId="0" fontId="3" fillId="0" borderId="21" xfId="0" applyFont="1" applyBorder="1"/>
    <xf numFmtId="0" fontId="13" fillId="0" borderId="25" xfId="6" applyFont="1" applyBorder="1" applyAlignment="1" applyProtection="1">
      <alignment horizontal="center"/>
      <protection locked="0"/>
    </xf>
    <xf numFmtId="0" fontId="15" fillId="6" borderId="28" xfId="6" applyFont="1" applyFill="1" applyBorder="1" applyAlignment="1">
      <alignment horizontal="center"/>
    </xf>
    <xf numFmtId="0" fontId="15" fillId="6" borderId="29" xfId="6" applyFont="1" applyFill="1" applyBorder="1" applyAlignment="1">
      <alignment horizontal="center"/>
    </xf>
    <xf numFmtId="0" fontId="15" fillId="6" borderId="30" xfId="5" applyFont="1" applyFill="1" applyBorder="1" applyAlignment="1">
      <alignment horizontal="center" vertical="center"/>
    </xf>
    <xf numFmtId="0" fontId="0" fillId="0" borderId="25" xfId="0" applyBorder="1" applyAlignment="1">
      <alignment horizontal="center"/>
    </xf>
    <xf numFmtId="0" fontId="15" fillId="6" borderId="28" xfId="5" applyFont="1" applyFill="1" applyBorder="1" applyAlignment="1">
      <alignment horizontal="center" vertical="top"/>
    </xf>
    <xf numFmtId="0" fontId="15" fillId="6" borderId="29" xfId="5" applyFont="1" applyFill="1" applyBorder="1" applyAlignment="1">
      <alignment horizontal="center" vertical="top"/>
    </xf>
    <xf numFmtId="0" fontId="15" fillId="6" borderId="30" xfId="5" applyFont="1" applyFill="1" applyBorder="1" applyAlignment="1">
      <alignment horizontal="center" vertical="top"/>
    </xf>
    <xf numFmtId="0" fontId="3" fillId="0" borderId="0" xfId="0" applyFont="1" applyAlignment="1">
      <alignment horizontal="center"/>
    </xf>
    <xf numFmtId="0" fontId="0" fillId="0" borderId="0" xfId="5" applyFont="1" applyAlignment="1" applyProtection="1">
      <alignment horizontal="center" vertical="center"/>
      <protection locked="0"/>
    </xf>
    <xf numFmtId="0" fontId="0" fillId="6" borderId="1" xfId="0" applyFill="1" applyBorder="1"/>
    <xf numFmtId="1" fontId="26" fillId="0" borderId="0" xfId="0" applyNumberFormat="1" applyFont="1"/>
    <xf numFmtId="0" fontId="3" fillId="0" borderId="33" xfId="0" applyFont="1" applyBorder="1"/>
    <xf numFmtId="2" fontId="0" fillId="0" borderId="34" xfId="0" applyNumberFormat="1" applyBorder="1"/>
    <xf numFmtId="2" fontId="0" fillId="0" borderId="31" xfId="0" applyNumberFormat="1" applyBorder="1"/>
    <xf numFmtId="0" fontId="0" fillId="0" borderId="35" xfId="0" applyBorder="1"/>
    <xf numFmtId="0" fontId="3" fillId="0" borderId="22" xfId="0" applyFont="1" applyBorder="1"/>
    <xf numFmtId="0" fontId="3" fillId="0" borderId="23" xfId="0" applyFont="1" applyBorder="1"/>
    <xf numFmtId="0" fontId="0" fillId="0" borderId="36" xfId="0" applyBorder="1"/>
    <xf numFmtId="0" fontId="0" fillId="0" borderId="37" xfId="0" applyBorder="1"/>
    <xf numFmtId="0" fontId="3" fillId="6" borderId="21" xfId="5" applyFont="1" applyFill="1" applyBorder="1" applyAlignment="1">
      <alignment horizontal="left"/>
    </xf>
    <xf numFmtId="1" fontId="18" fillId="0" borderId="18" xfId="0" applyNumberFormat="1" applyFont="1" applyBorder="1"/>
    <xf numFmtId="0" fontId="0" fillId="6" borderId="21" xfId="0" applyFill="1" applyBorder="1"/>
    <xf numFmtId="0" fontId="0" fillId="6" borderId="22" xfId="0" applyFill="1" applyBorder="1"/>
    <xf numFmtId="0" fontId="0" fillId="6" borderId="23" xfId="0" applyFill="1" applyBorder="1"/>
    <xf numFmtId="0" fontId="3" fillId="6" borderId="4" xfId="5" applyFont="1" applyFill="1" applyBorder="1" applyAlignment="1">
      <alignment horizontal="left"/>
    </xf>
    <xf numFmtId="0" fontId="3" fillId="6" borderId="2" xfId="5" applyFont="1" applyFill="1" applyBorder="1" applyAlignment="1">
      <alignment horizontal="left"/>
    </xf>
    <xf numFmtId="0" fontId="3" fillId="0" borderId="19" xfId="0" applyFont="1" applyBorder="1"/>
    <xf numFmtId="2" fontId="0" fillId="0" borderId="39" xfId="0" applyNumberFormat="1" applyBorder="1"/>
    <xf numFmtId="1" fontId="0" fillId="0" borderId="2" xfId="0" applyNumberFormat="1" applyBorder="1"/>
    <xf numFmtId="1" fontId="0" fillId="0" borderId="22" xfId="0" applyNumberFormat="1" applyBorder="1"/>
    <xf numFmtId="0" fontId="27" fillId="0" borderId="0" xfId="0" applyFont="1"/>
    <xf numFmtId="0" fontId="28" fillId="0" borderId="0" xfId="0" applyFont="1"/>
    <xf numFmtId="2" fontId="28" fillId="0" borderId="0" xfId="0" applyNumberFormat="1" applyFont="1"/>
    <xf numFmtId="0" fontId="0" fillId="7" borderId="0" xfId="0" applyFill="1"/>
    <xf numFmtId="1" fontId="27" fillId="0" borderId="0" xfId="0" applyNumberFormat="1" applyFont="1"/>
    <xf numFmtId="1" fontId="20" fillId="0" borderId="0" xfId="0" applyNumberFormat="1" applyFont="1"/>
    <xf numFmtId="0" fontId="0" fillId="0" borderId="0" xfId="0" applyAlignment="1">
      <alignment horizontal="left" wrapText="1"/>
    </xf>
    <xf numFmtId="0" fontId="0" fillId="3" borderId="1" xfId="5" applyFont="1" applyFill="1" applyBorder="1" applyAlignment="1" applyProtection="1">
      <alignment horizontal="right" vertical="center"/>
      <protection locked="0"/>
    </xf>
    <xf numFmtId="0" fontId="0" fillId="0" borderId="0" xfId="0" applyAlignment="1">
      <alignment horizontal="left" vertical="top" wrapText="1"/>
    </xf>
    <xf numFmtId="0" fontId="0" fillId="0" borderId="0" xfId="0" applyAlignment="1">
      <alignment vertical="top" wrapText="1"/>
    </xf>
    <xf numFmtId="0" fontId="0" fillId="0" borderId="0" xfId="5" applyFont="1" applyAlignment="1" applyProtection="1">
      <alignment horizontal="right" vertical="center"/>
      <protection locked="0"/>
    </xf>
    <xf numFmtId="0" fontId="0" fillId="0" borderId="0" xfId="0" applyAlignment="1">
      <alignment horizontal="right"/>
    </xf>
    <xf numFmtId="0" fontId="0" fillId="0" borderId="31" xfId="0" applyBorder="1"/>
    <xf numFmtId="0" fontId="0" fillId="0" borderId="32" xfId="0" applyBorder="1"/>
    <xf numFmtId="0" fontId="13" fillId="0" borderId="0" xfId="6" applyFont="1" applyAlignment="1" applyProtection="1">
      <alignment horizontal="center"/>
      <protection locked="0"/>
    </xf>
    <xf numFmtId="0" fontId="14" fillId="6" borderId="2" xfId="5" applyFont="1" applyFill="1" applyBorder="1"/>
    <xf numFmtId="0" fontId="0" fillId="6" borderId="4" xfId="0" applyFill="1" applyBorder="1"/>
    <xf numFmtId="0" fontId="3" fillId="5" borderId="2" xfId="0" applyFont="1" applyFill="1" applyBorder="1"/>
    <xf numFmtId="0" fontId="15" fillId="5" borderId="3" xfId="5" applyFont="1" applyFill="1" applyBorder="1" applyAlignment="1">
      <alignment horizontal="center" vertical="top"/>
    </xf>
    <xf numFmtId="0" fontId="15" fillId="5" borderId="4" xfId="5" applyFont="1" applyFill="1" applyBorder="1" applyAlignment="1">
      <alignment horizontal="center" vertical="top"/>
    </xf>
    <xf numFmtId="0" fontId="15" fillId="0" borderId="0" xfId="5" applyFont="1" applyAlignment="1">
      <alignment horizontal="left" vertical="top"/>
    </xf>
    <xf numFmtId="0" fontId="0" fillId="0" borderId="8" xfId="0" applyBorder="1"/>
    <xf numFmtId="0" fontId="0" fillId="4" borderId="0" xfId="0" applyFill="1"/>
    <xf numFmtId="0" fontId="3" fillId="5" borderId="5" xfId="0" applyFont="1" applyFill="1" applyBorder="1"/>
    <xf numFmtId="0" fontId="3" fillId="5" borderId="6" xfId="0" applyFont="1" applyFill="1" applyBorder="1"/>
    <xf numFmtId="0" fontId="3" fillId="5" borderId="7" xfId="0" applyFont="1" applyFill="1" applyBorder="1"/>
    <xf numFmtId="0" fontId="3" fillId="5" borderId="0" xfId="0" applyFont="1" applyFill="1"/>
    <xf numFmtId="0" fontId="19" fillId="0" borderId="0" xfId="0" applyFont="1"/>
    <xf numFmtId="0" fontId="0" fillId="0" borderId="3" xfId="0" applyBorder="1" applyAlignment="1">
      <alignment horizontal="right"/>
    </xf>
    <xf numFmtId="166" fontId="0" fillId="0" borderId="0" xfId="0" applyNumberFormat="1"/>
    <xf numFmtId="0" fontId="0" fillId="3" borderId="4" xfId="0" applyFill="1" applyBorder="1" applyProtection="1">
      <protection locked="0"/>
    </xf>
    <xf numFmtId="0" fontId="0" fillId="3" borderId="18" xfId="0" applyFill="1" applyBorder="1" applyProtection="1">
      <protection locked="0"/>
    </xf>
    <xf numFmtId="0" fontId="0" fillId="4" borderId="18" xfId="0" applyFill="1" applyBorder="1" applyProtection="1">
      <protection locked="0"/>
    </xf>
    <xf numFmtId="0" fontId="6" fillId="3" borderId="7" xfId="0" applyFont="1" applyFill="1" applyBorder="1" applyProtection="1">
      <protection locked="0"/>
    </xf>
    <xf numFmtId="0" fontId="0" fillId="4" borderId="9" xfId="0" applyFill="1" applyBorder="1" applyProtection="1">
      <protection locked="0"/>
    </xf>
    <xf numFmtId="0" fontId="0" fillId="4" borderId="10" xfId="0" applyFill="1" applyBorder="1" applyProtection="1">
      <protection locked="0"/>
    </xf>
    <xf numFmtId="0" fontId="0" fillId="3" borderId="0" xfId="0" applyFill="1" applyAlignment="1" applyProtection="1">
      <alignment horizontal="left" wrapText="1"/>
      <protection locked="0"/>
    </xf>
    <xf numFmtId="0" fontId="0" fillId="4" borderId="0" xfId="0" applyFill="1" applyAlignment="1" applyProtection="1">
      <alignment horizontal="left" wrapText="1"/>
      <protection locked="0"/>
    </xf>
    <xf numFmtId="0" fontId="0" fillId="4" borderId="12" xfId="0" applyFill="1" applyBorder="1" applyProtection="1">
      <protection locked="0"/>
    </xf>
    <xf numFmtId="0" fontId="0" fillId="3" borderId="14" xfId="0" applyFill="1" applyBorder="1" applyProtection="1">
      <protection locked="0"/>
    </xf>
    <xf numFmtId="0" fontId="0" fillId="3" borderId="14" xfId="0" applyFill="1" applyBorder="1" applyAlignment="1" applyProtection="1">
      <alignment horizontal="left"/>
      <protection locked="0"/>
    </xf>
    <xf numFmtId="0" fontId="0" fillId="3" borderId="16" xfId="0" applyFill="1" applyBorder="1" applyProtection="1">
      <protection locked="0"/>
    </xf>
    <xf numFmtId="0" fontId="0" fillId="0" borderId="0" xfId="0" applyProtection="1">
      <protection locked="0"/>
    </xf>
    <xf numFmtId="14" fontId="0" fillId="0" borderId="0" xfId="0" applyNumberFormat="1" applyProtection="1">
      <protection locked="0"/>
    </xf>
    <xf numFmtId="0" fontId="0" fillId="0" borderId="0" xfId="0" applyAlignment="1" applyProtection="1">
      <alignment horizontal="center"/>
      <protection locked="0"/>
    </xf>
    <xf numFmtId="0" fontId="2" fillId="3" borderId="0" xfId="5" applyFont="1" applyFill="1" applyProtection="1">
      <protection locked="0"/>
    </xf>
    <xf numFmtId="2" fontId="0" fillId="0" borderId="38" xfId="0" applyNumberFormat="1" applyBorder="1" applyProtection="1">
      <protection locked="0"/>
    </xf>
    <xf numFmtId="2" fontId="0" fillId="0" borderId="0" xfId="0" applyNumberFormat="1" applyProtection="1">
      <protection locked="0"/>
    </xf>
    <xf numFmtId="0" fontId="0" fillId="4" borderId="24" xfId="0" applyFill="1" applyBorder="1" applyProtection="1">
      <protection locked="0"/>
    </xf>
    <xf numFmtId="0" fontId="0" fillId="4" borderId="19" xfId="0" applyFill="1" applyBorder="1" applyProtection="1">
      <protection locked="0"/>
    </xf>
    <xf numFmtId="0" fontId="0" fillId="4" borderId="20" xfId="0" applyFill="1" applyBorder="1" applyProtection="1">
      <protection locked="0"/>
    </xf>
    <xf numFmtId="0" fontId="0" fillId="3" borderId="2" xfId="0" applyFill="1" applyBorder="1" applyProtection="1">
      <protection locked="0"/>
    </xf>
    <xf numFmtId="0" fontId="0" fillId="3" borderId="3" xfId="0" applyFill="1" applyBorder="1" applyProtection="1">
      <protection locked="0"/>
    </xf>
    <xf numFmtId="0" fontId="0" fillId="3" borderId="17" xfId="0" applyFill="1" applyBorder="1" applyProtection="1">
      <protection locked="0"/>
    </xf>
    <xf numFmtId="0" fontId="0" fillId="3" borderId="0" xfId="0" applyFill="1" applyProtection="1">
      <protection locked="0"/>
    </xf>
    <xf numFmtId="0" fontId="0" fillId="3" borderId="5" xfId="0" applyFill="1" applyBorder="1" applyProtection="1">
      <protection locked="0"/>
    </xf>
    <xf numFmtId="0" fontId="0" fillId="3" borderId="6" xfId="0" applyFill="1" applyBorder="1" applyProtection="1">
      <protection locked="0"/>
    </xf>
    <xf numFmtId="0" fontId="0" fillId="3" borderId="1" xfId="0" applyFill="1" applyBorder="1" applyProtection="1">
      <protection locked="0"/>
    </xf>
    <xf numFmtId="0" fontId="0" fillId="3" borderId="1" xfId="0" applyFill="1" applyBorder="1" applyAlignment="1" applyProtection="1">
      <alignment horizontal="right"/>
      <protection locked="0"/>
    </xf>
    <xf numFmtId="0" fontId="0" fillId="0" borderId="0" xfId="5" applyFont="1" applyAlignment="1">
      <alignment horizontal="center" vertical="center"/>
    </xf>
    <xf numFmtId="0" fontId="13" fillId="0" borderId="25" xfId="6" applyFont="1" applyBorder="1" applyAlignment="1">
      <alignment horizontal="center"/>
    </xf>
    <xf numFmtId="0" fontId="13" fillId="0" borderId="0" xfId="6" applyFont="1" applyAlignment="1">
      <alignment horizontal="center"/>
    </xf>
    <xf numFmtId="0" fontId="13" fillId="0" borderId="1" xfId="5" applyBorder="1" applyAlignment="1">
      <alignment horizontal="center" vertical="center"/>
    </xf>
    <xf numFmtId="0" fontId="13" fillId="4" borderId="1" xfId="5" applyFill="1" applyBorder="1" applyAlignment="1">
      <alignment horizontal="center" vertical="center"/>
    </xf>
    <xf numFmtId="0" fontId="0" fillId="0" borderId="0" xfId="5" applyFont="1" applyAlignment="1">
      <alignment horizontal="right" vertical="center"/>
    </xf>
    <xf numFmtId="0" fontId="20" fillId="0" borderId="0" xfId="0" applyFont="1" applyAlignment="1">
      <alignment horizontal="left" vertical="top" wrapText="1"/>
    </xf>
    <xf numFmtId="0" fontId="3" fillId="0" borderId="0" xfId="0" applyFont="1" applyAlignment="1">
      <alignment horizontal="center"/>
    </xf>
    <xf numFmtId="0" fontId="15" fillId="6" borderId="40" xfId="5" applyFont="1" applyFill="1" applyBorder="1" applyAlignment="1">
      <alignment horizontal="center" vertical="top"/>
    </xf>
    <xf numFmtId="0" fontId="15" fillId="6" borderId="38" xfId="5" applyFont="1" applyFill="1" applyBorder="1" applyAlignment="1">
      <alignment horizontal="center" vertical="top"/>
    </xf>
    <xf numFmtId="0" fontId="15" fillId="6" borderId="9" xfId="5" applyFont="1" applyFill="1" applyBorder="1" applyAlignment="1">
      <alignment horizontal="center" vertical="top"/>
    </xf>
    <xf numFmtId="0" fontId="15" fillId="6" borderId="32" xfId="5" applyFont="1" applyFill="1" applyBorder="1" applyAlignment="1">
      <alignment horizontal="center" vertical="top"/>
    </xf>
    <xf numFmtId="0" fontId="15" fillId="5" borderId="0" xfId="5" applyFont="1" applyFill="1" applyAlignment="1">
      <alignment horizontal="center" vertical="top"/>
    </xf>
    <xf numFmtId="0" fontId="20" fillId="0" borderId="0" xfId="0" applyFont="1" applyAlignment="1">
      <alignment horizontal="left"/>
    </xf>
    <xf numFmtId="0" fontId="0" fillId="0" borderId="0" xfId="0" applyAlignment="1">
      <alignment horizontal="left" wrapText="1"/>
    </xf>
    <xf numFmtId="0" fontId="3" fillId="6" borderId="0" xfId="0" applyFont="1" applyFill="1" applyAlignment="1">
      <alignment horizontal="left" wrapText="1"/>
    </xf>
    <xf numFmtId="0" fontId="0" fillId="0" borderId="0" xfId="0" applyAlignment="1">
      <alignment horizontal="left" vertical="top" wrapText="1"/>
    </xf>
    <xf numFmtId="0" fontId="3" fillId="6" borderId="0" xfId="0" applyFont="1" applyFill="1" applyAlignment="1">
      <alignment horizontal="left" vertical="top"/>
    </xf>
    <xf numFmtId="0" fontId="3" fillId="6" borderId="0" xfId="0" applyFont="1" applyFill="1" applyAlignment="1">
      <alignment horizontal="left"/>
    </xf>
    <xf numFmtId="0" fontId="3" fillId="6" borderId="0" xfId="0" applyFont="1" applyFill="1" applyAlignment="1">
      <alignment horizontal="left" vertical="top" wrapText="1"/>
    </xf>
    <xf numFmtId="0" fontId="0" fillId="0" borderId="0" xfId="0" applyAlignment="1">
      <alignment horizontal="center"/>
    </xf>
    <xf numFmtId="0" fontId="4" fillId="0" borderId="0" xfId="0" applyFont="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5" fillId="0" borderId="0" xfId="2" applyFont="1" applyAlignment="1">
      <alignment horizontal="center" vertical="center"/>
    </xf>
    <xf numFmtId="0" fontId="9" fillId="0" borderId="0" xfId="2" applyFont="1" applyAlignment="1">
      <alignment horizontal="left" vertical="top" wrapText="1"/>
    </xf>
  </cellXfs>
  <cellStyles count="7">
    <cellStyle name="Procent" xfId="1" builtinId="5"/>
    <cellStyle name="Standaard" xfId="0" builtinId="0"/>
    <cellStyle name="Standaard 2" xfId="5" xr:uid="{4CE08210-341B-4EC0-BB02-1BD7B6717CE2}"/>
    <cellStyle name="Standaard 2 2" xfId="4" xr:uid="{748AF957-08D4-43C5-B56D-CA25E375DC79}"/>
    <cellStyle name="Standaard 3" xfId="2" xr:uid="{B6103734-AC15-414F-87FE-19BE9C8341DE}"/>
    <cellStyle name="Standaard 4" xfId="3" xr:uid="{4638AB93-8539-43B0-864B-90A33FCA2452}"/>
    <cellStyle name="Standaard 5" xfId="6" xr:uid="{BE8FDDDA-0F11-40D5-85C2-2D100C45746C}"/>
  </cellStyles>
  <dxfs count="445">
    <dxf>
      <font>
        <color theme="0"/>
      </font>
    </dxf>
    <dxf>
      <fill>
        <patternFill>
          <bgColor rgb="FFFFFF00"/>
        </patternFill>
      </fill>
    </dxf>
    <dxf>
      <fill>
        <patternFill>
          <bgColor rgb="FFFFFF00"/>
        </patternFill>
      </fill>
    </dxf>
    <dxf>
      <font>
        <color theme="0"/>
      </font>
      <border>
        <left/>
        <right/>
        <top/>
        <bottom/>
        <vertical/>
        <horizontal/>
      </border>
    </dxf>
    <dxf>
      <fill>
        <patternFill>
          <bgColor rgb="FFFFFF00"/>
        </patternFill>
      </fill>
    </dxf>
    <dxf>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ont>
        <color theme="0"/>
      </font>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ont>
        <color theme="0"/>
      </font>
    </dxf>
    <dxf>
      <font>
        <color theme="0"/>
      </font>
    </dxf>
    <dxf>
      <font>
        <color theme="0"/>
      </font>
    </dxf>
    <dxf>
      <font>
        <color theme="0"/>
      </font>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patternType="none">
          <bgColor auto="1"/>
        </patternFill>
      </fill>
    </dxf>
    <dxf>
      <font>
        <color theme="0"/>
      </font>
      <fill>
        <patternFill patternType="none">
          <bgColor auto="1"/>
        </patternFill>
      </fill>
      <border>
        <left/>
        <right/>
        <top/>
        <bottom/>
        <vertical/>
        <horizontal/>
      </border>
    </dxf>
    <dxf>
      <fill>
        <patternFill>
          <bgColor rgb="FFFFC000"/>
        </patternFill>
      </fill>
    </dxf>
    <dxf>
      <fill>
        <patternFill>
          <bgColor rgb="FFFF0000"/>
        </patternFill>
      </fill>
    </dxf>
    <dxf>
      <font>
        <color theme="0"/>
      </font>
    </dxf>
    <dxf>
      <font>
        <color theme="0"/>
      </font>
    </dxf>
    <dxf>
      <font>
        <color theme="0"/>
      </font>
    </dxf>
    <dxf>
      <fill>
        <patternFill>
          <bgColor rgb="FFFF0000"/>
        </patternFill>
      </fill>
    </dxf>
    <dxf>
      <fill>
        <patternFill>
          <bgColor rgb="FFFFC000"/>
        </patternFill>
      </fill>
    </dxf>
    <dxf>
      <font>
        <color theme="0"/>
      </font>
    </dxf>
    <dxf>
      <font>
        <color theme="0"/>
      </font>
    </dxf>
    <dxf>
      <font>
        <color theme="0"/>
      </font>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ont>
        <color theme="0"/>
      </font>
    </dxf>
    <dxf>
      <font>
        <color theme="0"/>
      </font>
    </dxf>
    <dxf>
      <fill>
        <patternFill>
          <bgColor rgb="FFFFFFCC"/>
        </patternFill>
      </fill>
      <border>
        <left style="thin">
          <color auto="1"/>
        </left>
        <right style="thin">
          <color auto="1"/>
        </right>
        <top style="thin">
          <color auto="1"/>
        </top>
        <bottom style="thin">
          <color auto="1"/>
        </bottom>
      </border>
    </dxf>
    <dxf>
      <fill>
        <patternFill>
          <bgColor rgb="FFFFFFCC"/>
        </patternFill>
      </fill>
      <border>
        <left style="thin">
          <color auto="1"/>
        </left>
        <right style="thin">
          <color auto="1"/>
        </right>
        <top style="thin">
          <color auto="1"/>
        </top>
        <bottom style="thin">
          <color auto="1"/>
        </bottom>
        <vertical/>
        <horizontal/>
      </border>
    </dxf>
    <dxf>
      <font>
        <color theme="0"/>
      </font>
    </dxf>
    <dxf>
      <fill>
        <patternFill>
          <bgColor rgb="FFFFFFCC"/>
        </patternFill>
      </fill>
      <border>
        <left style="thin">
          <color auto="1"/>
        </left>
        <right style="thin">
          <color auto="1"/>
        </right>
        <top style="thin">
          <color auto="1"/>
        </top>
        <bottom style="thin">
          <color auto="1"/>
        </bottom>
        <vertical/>
        <horizontal/>
      </border>
    </dxf>
    <dxf>
      <font>
        <color theme="0"/>
      </font>
    </dxf>
    <dxf>
      <border>
        <top style="thin">
          <color auto="1"/>
        </top>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border>
        <left/>
        <right/>
        <top/>
        <bottom/>
        <vertical/>
        <horizontal/>
      </border>
    </dxf>
    <dxf>
      <border>
        <top style="thin">
          <color auto="1"/>
        </top>
        <vertical/>
        <horizontal/>
      </border>
    </dxf>
    <dxf>
      <border>
        <left style="thin">
          <color auto="1"/>
        </left>
        <right style="thin">
          <color auto="1"/>
        </right>
        <top style="thin">
          <color auto="1"/>
        </top>
        <bottom style="thin">
          <color auto="1"/>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border>
        <bottom style="thin">
          <color auto="1"/>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dxf>
    <dxf>
      <fill>
        <patternFill patternType="none">
          <bgColor auto="1"/>
        </patternFill>
      </fill>
    </dxf>
    <dxf>
      <fill>
        <patternFill patternType="none">
          <bgColor auto="1"/>
        </patternFill>
      </fill>
    </dxf>
    <dxf>
      <font>
        <color theme="0"/>
      </font>
      <fill>
        <patternFill patternType="none">
          <bgColor auto="1"/>
        </patternFill>
      </fill>
      <border>
        <left/>
        <right/>
        <top style="thin">
          <color auto="1"/>
        </top>
        <bottom/>
        <vertical/>
        <horizontal/>
      </border>
    </dxf>
    <dxf>
      <font>
        <b/>
        <i val="0"/>
      </font>
      <fill>
        <patternFill>
          <bgColor rgb="FF8ED973"/>
        </patternFill>
      </fill>
      <border>
        <left style="thin">
          <color auto="1"/>
        </left>
        <right style="thin">
          <color auto="1"/>
        </right>
        <top style="thin">
          <color auto="1"/>
        </top>
        <bottom style="thin">
          <color auto="1"/>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dxf>
    <dxf>
      <fill>
        <patternFill>
          <bgColor rgb="FFFFFF00"/>
        </patternFill>
      </fill>
    </dxf>
    <dxf>
      <fill>
        <patternFill>
          <bgColor rgb="FFFFFF00"/>
        </patternFill>
      </fill>
    </dxf>
    <dxf>
      <font>
        <color theme="0"/>
      </font>
      <border>
        <left/>
        <right/>
        <top/>
        <bottom/>
        <vertical/>
        <horizontal/>
      </border>
    </dxf>
    <dxf>
      <fill>
        <patternFill>
          <bgColor rgb="FFFFFF00"/>
        </patternFill>
      </fill>
    </dxf>
    <dxf>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ont>
        <color theme="0"/>
      </font>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ont>
        <color theme="0"/>
      </font>
    </dxf>
    <dxf>
      <font>
        <color theme="0"/>
      </font>
    </dxf>
    <dxf>
      <font>
        <color theme="0"/>
      </font>
    </dxf>
    <dxf>
      <font>
        <color theme="0"/>
      </font>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patternType="none">
          <bgColor auto="1"/>
        </patternFill>
      </fill>
    </dxf>
    <dxf>
      <font>
        <color theme="0"/>
      </font>
      <fill>
        <patternFill patternType="none">
          <bgColor auto="1"/>
        </patternFill>
      </fill>
      <border>
        <left/>
        <right/>
        <top/>
        <bottom/>
        <vertical/>
        <horizontal/>
      </border>
    </dxf>
    <dxf>
      <fill>
        <patternFill>
          <bgColor rgb="FFFFC000"/>
        </patternFill>
      </fill>
    </dxf>
    <dxf>
      <fill>
        <patternFill>
          <bgColor rgb="FFFF0000"/>
        </patternFill>
      </fill>
    </dxf>
    <dxf>
      <font>
        <color theme="0"/>
      </font>
    </dxf>
    <dxf>
      <font>
        <color theme="0"/>
      </font>
    </dxf>
    <dxf>
      <font>
        <color theme="0"/>
      </font>
    </dxf>
    <dxf>
      <fill>
        <patternFill>
          <bgColor rgb="FFFF0000"/>
        </patternFill>
      </fill>
    </dxf>
    <dxf>
      <fill>
        <patternFill>
          <bgColor rgb="FFFFC000"/>
        </patternFill>
      </fill>
    </dxf>
    <dxf>
      <font>
        <color theme="0"/>
      </font>
    </dxf>
    <dxf>
      <font>
        <color theme="0"/>
      </font>
    </dxf>
    <dxf>
      <font>
        <color theme="0"/>
      </font>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ont>
        <color theme="0"/>
      </font>
    </dxf>
    <dxf>
      <font>
        <color theme="0"/>
      </font>
    </dxf>
    <dxf>
      <fill>
        <patternFill>
          <bgColor rgb="FFFFFFCC"/>
        </patternFill>
      </fill>
      <border>
        <left style="thin">
          <color auto="1"/>
        </left>
        <right style="thin">
          <color auto="1"/>
        </right>
        <top style="thin">
          <color auto="1"/>
        </top>
        <bottom style="thin">
          <color auto="1"/>
        </bottom>
      </border>
    </dxf>
    <dxf>
      <fill>
        <patternFill>
          <bgColor rgb="FFFFFFCC"/>
        </patternFill>
      </fill>
      <border>
        <left style="thin">
          <color auto="1"/>
        </left>
        <right style="thin">
          <color auto="1"/>
        </right>
        <top style="thin">
          <color auto="1"/>
        </top>
        <bottom style="thin">
          <color auto="1"/>
        </bottom>
        <vertical/>
        <horizontal/>
      </border>
    </dxf>
    <dxf>
      <font>
        <color theme="0"/>
      </font>
    </dxf>
    <dxf>
      <fill>
        <patternFill>
          <bgColor rgb="FFFFFFCC"/>
        </patternFill>
      </fill>
      <border>
        <left style="thin">
          <color auto="1"/>
        </left>
        <right style="thin">
          <color auto="1"/>
        </right>
        <top style="thin">
          <color auto="1"/>
        </top>
        <bottom style="thin">
          <color auto="1"/>
        </bottom>
        <vertical/>
        <horizontal/>
      </border>
    </dxf>
    <dxf>
      <font>
        <color theme="0"/>
      </font>
    </dxf>
    <dxf>
      <border>
        <top style="thin">
          <color auto="1"/>
        </top>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border>
        <left/>
        <right/>
        <top/>
        <bottom/>
        <vertical/>
        <horizontal/>
      </border>
    </dxf>
    <dxf>
      <border>
        <top style="thin">
          <color auto="1"/>
        </top>
        <vertical/>
        <horizontal/>
      </border>
    </dxf>
    <dxf>
      <border>
        <left style="thin">
          <color auto="1"/>
        </left>
        <right style="thin">
          <color auto="1"/>
        </right>
        <top style="thin">
          <color auto="1"/>
        </top>
        <bottom style="thin">
          <color auto="1"/>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border>
        <bottom style="thin">
          <color auto="1"/>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dxf>
    <dxf>
      <fill>
        <patternFill patternType="none">
          <bgColor auto="1"/>
        </patternFill>
      </fill>
    </dxf>
    <dxf>
      <fill>
        <patternFill patternType="none">
          <bgColor auto="1"/>
        </patternFill>
      </fill>
    </dxf>
    <dxf>
      <font>
        <color theme="0"/>
      </font>
      <fill>
        <patternFill patternType="none">
          <bgColor auto="1"/>
        </patternFill>
      </fill>
      <border>
        <left/>
        <right/>
        <top style="thin">
          <color auto="1"/>
        </top>
        <bottom/>
        <vertical/>
        <horizontal/>
      </border>
    </dxf>
    <dxf>
      <font>
        <b/>
        <i val="0"/>
      </font>
      <fill>
        <patternFill>
          <bgColor rgb="FF8ED973"/>
        </patternFill>
      </fill>
      <border>
        <left style="thin">
          <color auto="1"/>
        </left>
        <right style="thin">
          <color auto="1"/>
        </right>
        <top style="thin">
          <color auto="1"/>
        </top>
        <bottom style="thin">
          <color auto="1"/>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dxf>
    <dxf>
      <fill>
        <patternFill>
          <bgColor rgb="FFFFFF00"/>
        </patternFill>
      </fill>
    </dxf>
    <dxf>
      <fill>
        <patternFill>
          <bgColor rgb="FFFFFF00"/>
        </patternFill>
      </fill>
    </dxf>
    <dxf>
      <font>
        <color theme="0"/>
      </font>
      <border>
        <left/>
        <right/>
        <top/>
        <bottom/>
        <vertical/>
        <horizontal/>
      </border>
    </dxf>
    <dxf>
      <fill>
        <patternFill>
          <bgColor rgb="FFFFFF00"/>
        </patternFill>
      </fill>
    </dxf>
    <dxf>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ont>
        <color theme="0"/>
      </font>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ont>
        <color theme="0"/>
      </font>
    </dxf>
    <dxf>
      <font>
        <color theme="0"/>
      </font>
    </dxf>
    <dxf>
      <font>
        <color theme="0"/>
      </font>
    </dxf>
    <dxf>
      <font>
        <color theme="0"/>
      </font>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patternType="none">
          <bgColor auto="1"/>
        </patternFill>
      </fill>
    </dxf>
    <dxf>
      <font>
        <color theme="0"/>
      </font>
      <fill>
        <patternFill patternType="none">
          <bgColor auto="1"/>
        </patternFill>
      </fill>
      <border>
        <left/>
        <right/>
        <top/>
        <bottom/>
        <vertical/>
        <horizontal/>
      </border>
    </dxf>
    <dxf>
      <fill>
        <patternFill>
          <bgColor rgb="FFFFC000"/>
        </patternFill>
      </fill>
    </dxf>
    <dxf>
      <fill>
        <patternFill>
          <bgColor rgb="FFFF0000"/>
        </patternFill>
      </fill>
    </dxf>
    <dxf>
      <font>
        <color theme="0"/>
      </font>
    </dxf>
    <dxf>
      <font>
        <color theme="0"/>
      </font>
    </dxf>
    <dxf>
      <font>
        <color theme="0"/>
      </font>
    </dxf>
    <dxf>
      <fill>
        <patternFill>
          <bgColor rgb="FFFF0000"/>
        </patternFill>
      </fill>
    </dxf>
    <dxf>
      <fill>
        <patternFill>
          <bgColor rgb="FFFFC000"/>
        </patternFill>
      </fill>
    </dxf>
    <dxf>
      <font>
        <color theme="0"/>
      </font>
    </dxf>
    <dxf>
      <font>
        <color theme="0"/>
      </font>
    </dxf>
    <dxf>
      <font>
        <color theme="0"/>
      </font>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ont>
        <color theme="0"/>
      </font>
    </dxf>
    <dxf>
      <font>
        <color theme="0"/>
      </font>
    </dxf>
    <dxf>
      <fill>
        <patternFill>
          <bgColor rgb="FFFFFFCC"/>
        </patternFill>
      </fill>
      <border>
        <left style="thin">
          <color auto="1"/>
        </left>
        <right style="thin">
          <color auto="1"/>
        </right>
        <top style="thin">
          <color auto="1"/>
        </top>
        <bottom style="thin">
          <color auto="1"/>
        </bottom>
      </border>
    </dxf>
    <dxf>
      <fill>
        <patternFill>
          <bgColor rgb="FFFFFFCC"/>
        </patternFill>
      </fill>
      <border>
        <left style="thin">
          <color auto="1"/>
        </left>
        <right style="thin">
          <color auto="1"/>
        </right>
        <top style="thin">
          <color auto="1"/>
        </top>
        <bottom style="thin">
          <color auto="1"/>
        </bottom>
        <vertical/>
        <horizontal/>
      </border>
    </dxf>
    <dxf>
      <font>
        <color theme="0"/>
      </font>
    </dxf>
    <dxf>
      <fill>
        <patternFill>
          <bgColor rgb="FFFFFFCC"/>
        </patternFill>
      </fill>
      <border>
        <left style="thin">
          <color auto="1"/>
        </left>
        <right style="thin">
          <color auto="1"/>
        </right>
        <top style="thin">
          <color auto="1"/>
        </top>
        <bottom style="thin">
          <color auto="1"/>
        </bottom>
        <vertical/>
        <horizontal/>
      </border>
    </dxf>
    <dxf>
      <font>
        <color theme="0"/>
      </font>
    </dxf>
    <dxf>
      <border>
        <top style="thin">
          <color auto="1"/>
        </top>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border>
        <left/>
        <right/>
        <top/>
        <bottom/>
        <vertical/>
        <horizontal/>
      </border>
    </dxf>
    <dxf>
      <border>
        <top style="thin">
          <color auto="1"/>
        </top>
        <vertical/>
        <horizontal/>
      </border>
    </dxf>
    <dxf>
      <border>
        <left style="thin">
          <color auto="1"/>
        </left>
        <right style="thin">
          <color auto="1"/>
        </right>
        <top style="thin">
          <color auto="1"/>
        </top>
        <bottom style="thin">
          <color auto="1"/>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border>
        <bottom style="thin">
          <color auto="1"/>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dxf>
    <dxf>
      <fill>
        <patternFill patternType="none">
          <bgColor auto="1"/>
        </patternFill>
      </fill>
    </dxf>
    <dxf>
      <fill>
        <patternFill patternType="none">
          <bgColor auto="1"/>
        </patternFill>
      </fill>
    </dxf>
    <dxf>
      <font>
        <color theme="0"/>
      </font>
      <fill>
        <patternFill patternType="none">
          <bgColor auto="1"/>
        </patternFill>
      </fill>
      <border>
        <left/>
        <right/>
        <top style="thin">
          <color auto="1"/>
        </top>
        <bottom/>
        <vertical/>
        <horizontal/>
      </border>
    </dxf>
    <dxf>
      <font>
        <b/>
        <i val="0"/>
      </font>
      <fill>
        <patternFill>
          <bgColor rgb="FF8ED973"/>
        </patternFill>
      </fill>
      <border>
        <left style="thin">
          <color auto="1"/>
        </left>
        <right style="thin">
          <color auto="1"/>
        </right>
        <top style="thin">
          <color auto="1"/>
        </top>
        <bottom style="thin">
          <color auto="1"/>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dxf>
    <dxf>
      <fill>
        <patternFill>
          <bgColor rgb="FFFFFF00"/>
        </patternFill>
      </fill>
    </dxf>
    <dxf>
      <fill>
        <patternFill>
          <bgColor rgb="FFFFFF00"/>
        </patternFill>
      </fill>
    </dxf>
    <dxf>
      <font>
        <color theme="0"/>
      </font>
      <border>
        <left/>
        <right/>
        <top/>
        <bottom/>
        <vertical/>
        <horizontal/>
      </border>
    </dxf>
    <dxf>
      <fill>
        <patternFill>
          <bgColor rgb="FFFFFF00"/>
        </patternFill>
      </fill>
    </dxf>
    <dxf>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ont>
        <color theme="0"/>
      </font>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ont>
        <color theme="0"/>
      </font>
    </dxf>
    <dxf>
      <font>
        <color theme="0"/>
      </font>
    </dxf>
    <dxf>
      <font>
        <color theme="0"/>
      </font>
    </dxf>
    <dxf>
      <font>
        <color theme="0"/>
      </font>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patternType="none">
          <bgColor auto="1"/>
        </patternFill>
      </fill>
    </dxf>
    <dxf>
      <font>
        <color theme="0"/>
      </font>
      <fill>
        <patternFill patternType="none">
          <bgColor auto="1"/>
        </patternFill>
      </fill>
      <border>
        <left/>
        <right/>
        <top/>
        <bottom/>
        <vertical/>
        <horizontal/>
      </border>
    </dxf>
    <dxf>
      <fill>
        <patternFill>
          <bgColor rgb="FFFFC000"/>
        </patternFill>
      </fill>
    </dxf>
    <dxf>
      <fill>
        <patternFill>
          <bgColor rgb="FFFF0000"/>
        </patternFill>
      </fill>
    </dxf>
    <dxf>
      <font>
        <color theme="0"/>
      </font>
    </dxf>
    <dxf>
      <font>
        <color theme="0"/>
      </font>
    </dxf>
    <dxf>
      <font>
        <color theme="0"/>
      </font>
    </dxf>
    <dxf>
      <fill>
        <patternFill>
          <bgColor rgb="FFFF0000"/>
        </patternFill>
      </fill>
    </dxf>
    <dxf>
      <fill>
        <patternFill>
          <bgColor rgb="FFFFC000"/>
        </patternFill>
      </fill>
    </dxf>
    <dxf>
      <font>
        <color theme="0"/>
      </font>
    </dxf>
    <dxf>
      <font>
        <color theme="0"/>
      </font>
    </dxf>
    <dxf>
      <font>
        <color theme="0"/>
      </font>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ont>
        <color theme="0"/>
      </font>
    </dxf>
    <dxf>
      <font>
        <color theme="0"/>
      </font>
    </dxf>
    <dxf>
      <fill>
        <patternFill>
          <bgColor rgb="FFFFFFCC"/>
        </patternFill>
      </fill>
      <border>
        <left style="thin">
          <color auto="1"/>
        </left>
        <right style="thin">
          <color auto="1"/>
        </right>
        <top style="thin">
          <color auto="1"/>
        </top>
        <bottom style="thin">
          <color auto="1"/>
        </bottom>
      </border>
    </dxf>
    <dxf>
      <fill>
        <patternFill>
          <bgColor rgb="FFFFFFCC"/>
        </patternFill>
      </fill>
      <border>
        <left style="thin">
          <color auto="1"/>
        </left>
        <right style="thin">
          <color auto="1"/>
        </right>
        <top style="thin">
          <color auto="1"/>
        </top>
        <bottom style="thin">
          <color auto="1"/>
        </bottom>
        <vertical/>
        <horizontal/>
      </border>
    </dxf>
    <dxf>
      <font>
        <color theme="0"/>
      </font>
    </dxf>
    <dxf>
      <fill>
        <patternFill>
          <bgColor rgb="FFFFFFCC"/>
        </patternFill>
      </fill>
      <border>
        <left style="thin">
          <color auto="1"/>
        </left>
        <right style="thin">
          <color auto="1"/>
        </right>
        <top style="thin">
          <color auto="1"/>
        </top>
        <bottom style="thin">
          <color auto="1"/>
        </bottom>
        <vertical/>
        <horizontal/>
      </border>
    </dxf>
    <dxf>
      <font>
        <color theme="0"/>
      </font>
    </dxf>
    <dxf>
      <border>
        <top style="thin">
          <color auto="1"/>
        </top>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border>
        <left/>
        <right/>
        <top/>
        <bottom/>
        <vertical/>
        <horizontal/>
      </border>
    </dxf>
    <dxf>
      <border>
        <top style="thin">
          <color auto="1"/>
        </top>
        <vertical/>
        <horizontal/>
      </border>
    </dxf>
    <dxf>
      <border>
        <left style="thin">
          <color auto="1"/>
        </left>
        <right style="thin">
          <color auto="1"/>
        </right>
        <top style="thin">
          <color auto="1"/>
        </top>
        <bottom style="thin">
          <color auto="1"/>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border>
        <bottom style="thin">
          <color auto="1"/>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dxf>
    <dxf>
      <fill>
        <patternFill patternType="none">
          <bgColor auto="1"/>
        </patternFill>
      </fill>
    </dxf>
    <dxf>
      <fill>
        <patternFill patternType="none">
          <bgColor auto="1"/>
        </patternFill>
      </fill>
    </dxf>
    <dxf>
      <font>
        <color theme="0"/>
      </font>
      <fill>
        <patternFill patternType="none">
          <bgColor auto="1"/>
        </patternFill>
      </fill>
      <border>
        <left/>
        <right/>
        <top style="thin">
          <color auto="1"/>
        </top>
        <bottom/>
        <vertical/>
        <horizontal/>
      </border>
    </dxf>
    <dxf>
      <font>
        <b/>
        <i val="0"/>
      </font>
      <fill>
        <patternFill>
          <bgColor rgb="FF8ED973"/>
        </patternFill>
      </fill>
      <border>
        <left style="thin">
          <color auto="1"/>
        </left>
        <right style="thin">
          <color auto="1"/>
        </right>
        <top style="thin">
          <color auto="1"/>
        </top>
        <bottom style="thin">
          <color auto="1"/>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dxf>
    <dxf>
      <fill>
        <patternFill>
          <bgColor rgb="FFFFFF00"/>
        </patternFill>
      </fill>
    </dxf>
    <dxf>
      <fill>
        <patternFill>
          <bgColor rgb="FFFFFF00"/>
        </patternFill>
      </fill>
    </dxf>
    <dxf>
      <font>
        <color theme="0"/>
      </font>
      <border>
        <left/>
        <right/>
        <top/>
        <bottom/>
        <vertical/>
        <horizontal/>
      </border>
    </dxf>
    <dxf>
      <fill>
        <patternFill>
          <bgColor rgb="FFFFFF00"/>
        </patternFill>
      </fill>
    </dxf>
    <dxf>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ont>
        <color theme="0"/>
      </font>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ont>
        <color theme="0"/>
      </font>
    </dxf>
    <dxf>
      <font>
        <color theme="0"/>
      </font>
    </dxf>
    <dxf>
      <font>
        <color theme="0"/>
      </font>
    </dxf>
    <dxf>
      <font>
        <color theme="0"/>
      </font>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patternType="none">
          <bgColor auto="1"/>
        </patternFill>
      </fill>
    </dxf>
    <dxf>
      <font>
        <color theme="0"/>
      </font>
      <fill>
        <patternFill patternType="none">
          <bgColor auto="1"/>
        </patternFill>
      </fill>
      <border>
        <left/>
        <right/>
        <top/>
        <bottom/>
        <vertical/>
        <horizontal/>
      </border>
    </dxf>
    <dxf>
      <fill>
        <patternFill>
          <bgColor rgb="FFFFC000"/>
        </patternFill>
      </fill>
    </dxf>
    <dxf>
      <fill>
        <patternFill>
          <bgColor rgb="FFFF0000"/>
        </patternFill>
      </fill>
    </dxf>
    <dxf>
      <font>
        <color theme="0"/>
      </font>
    </dxf>
    <dxf>
      <font>
        <color theme="0"/>
      </font>
    </dxf>
    <dxf>
      <font>
        <color theme="0"/>
      </font>
    </dxf>
    <dxf>
      <fill>
        <patternFill>
          <bgColor rgb="FFFF0000"/>
        </patternFill>
      </fill>
    </dxf>
    <dxf>
      <fill>
        <patternFill>
          <bgColor rgb="FFFFC000"/>
        </patternFill>
      </fill>
    </dxf>
    <dxf>
      <font>
        <color theme="0"/>
      </font>
    </dxf>
    <dxf>
      <font>
        <color theme="0"/>
      </font>
    </dxf>
    <dxf>
      <font>
        <color theme="0"/>
      </font>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ont>
        <color theme="0"/>
      </font>
    </dxf>
    <dxf>
      <font>
        <color theme="0"/>
      </font>
    </dxf>
    <dxf>
      <fill>
        <patternFill>
          <bgColor rgb="FFFFFFCC"/>
        </patternFill>
      </fill>
      <border>
        <left style="thin">
          <color auto="1"/>
        </left>
        <right style="thin">
          <color auto="1"/>
        </right>
        <top style="thin">
          <color auto="1"/>
        </top>
        <bottom style="thin">
          <color auto="1"/>
        </bottom>
      </border>
    </dxf>
    <dxf>
      <fill>
        <patternFill>
          <bgColor rgb="FFFFFFCC"/>
        </patternFill>
      </fill>
      <border>
        <left style="thin">
          <color auto="1"/>
        </left>
        <right style="thin">
          <color auto="1"/>
        </right>
        <top style="thin">
          <color auto="1"/>
        </top>
        <bottom style="thin">
          <color auto="1"/>
        </bottom>
        <vertical/>
        <horizontal/>
      </border>
    </dxf>
    <dxf>
      <font>
        <color theme="0"/>
      </font>
    </dxf>
    <dxf>
      <fill>
        <patternFill>
          <bgColor rgb="FFFFFFCC"/>
        </patternFill>
      </fill>
      <border>
        <left style="thin">
          <color auto="1"/>
        </left>
        <right style="thin">
          <color auto="1"/>
        </right>
        <top style="thin">
          <color auto="1"/>
        </top>
        <bottom style="thin">
          <color auto="1"/>
        </bottom>
        <vertical/>
        <horizontal/>
      </border>
    </dxf>
    <dxf>
      <font>
        <color theme="0"/>
      </font>
    </dxf>
    <dxf>
      <border>
        <top style="thin">
          <color auto="1"/>
        </top>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border>
        <left/>
        <right/>
        <top/>
        <bottom/>
        <vertical/>
        <horizontal/>
      </border>
    </dxf>
    <dxf>
      <border>
        <top style="thin">
          <color auto="1"/>
        </top>
        <vertical/>
        <horizontal/>
      </border>
    </dxf>
    <dxf>
      <border>
        <left style="thin">
          <color auto="1"/>
        </left>
        <right style="thin">
          <color auto="1"/>
        </right>
        <top style="thin">
          <color auto="1"/>
        </top>
        <bottom style="thin">
          <color auto="1"/>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border>
        <bottom style="thin">
          <color auto="1"/>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fill>
        <patternFill patternType="none">
          <bgColor auto="1"/>
        </patternFill>
      </fill>
      <border>
        <left/>
        <right/>
        <top/>
        <bottom/>
        <vertical/>
        <horizontal/>
      </border>
    </dxf>
    <dxf>
      <border>
        <bottom style="thin">
          <color auto="1"/>
        </bottom>
        <vertical/>
        <horizontal/>
      </border>
    </dxf>
    <dxf>
      <font>
        <color theme="0"/>
      </font>
    </dxf>
    <dxf>
      <fill>
        <patternFill patternType="none">
          <bgColor auto="1"/>
        </patternFill>
      </fill>
    </dxf>
    <dxf>
      <fill>
        <patternFill patternType="none">
          <bgColor auto="1"/>
        </patternFill>
      </fill>
    </dxf>
    <dxf>
      <font>
        <color theme="0"/>
      </font>
      <fill>
        <patternFill patternType="none">
          <bgColor auto="1"/>
        </patternFill>
      </fill>
      <border>
        <left/>
        <right/>
        <top style="thin">
          <color auto="1"/>
        </top>
        <bottom/>
        <vertical/>
        <horizontal/>
      </border>
    </dxf>
    <dxf>
      <font>
        <b/>
        <i val="0"/>
      </font>
      <fill>
        <patternFill>
          <bgColor rgb="FF8ED973"/>
        </patternFill>
      </fill>
      <border>
        <left style="thin">
          <color auto="1"/>
        </left>
        <right style="thin">
          <color auto="1"/>
        </right>
        <top style="thin">
          <color auto="1"/>
        </top>
        <bottom style="thin">
          <color auto="1"/>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colors>
    <mruColors>
      <color rgb="FF8ED97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Totaal bemest (kg/ha)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radarChart>
        <c:radarStyle val="marker"/>
        <c:varyColors val="0"/>
        <c:ser>
          <c:idx val="0"/>
          <c:order val="0"/>
          <c:tx>
            <c:v>Totaal bemest</c:v>
          </c:tx>
          <c:spPr>
            <a:ln w="28575" cap="rnd">
              <a:solidFill>
                <a:schemeClr val="accent1"/>
              </a:solidFill>
              <a:round/>
            </a:ln>
            <a:effectLst/>
          </c:spPr>
          <c:marker>
            <c:symbol val="none"/>
          </c:marker>
          <c:cat>
            <c:strRef>
              <c:f>Perceel_1!$G$110:$M$110</c:f>
              <c:strCache>
                <c:ptCount val="7"/>
                <c:pt idx="0">
                  <c:v>Nwz</c:v>
                </c:pt>
                <c:pt idx="1">
                  <c:v>P2O5 </c:v>
                </c:pt>
                <c:pt idx="2">
                  <c:v>K2O </c:v>
                </c:pt>
                <c:pt idx="3">
                  <c:v>MgO</c:v>
                </c:pt>
                <c:pt idx="4">
                  <c:v>CaO</c:v>
                </c:pt>
                <c:pt idx="5">
                  <c:v>Na2O</c:v>
                </c:pt>
                <c:pt idx="6">
                  <c:v>SO3 </c:v>
                </c:pt>
              </c:strCache>
            </c:strRef>
          </c:cat>
          <c:val>
            <c:numRef>
              <c:f>Perceel_1!$G$111:$M$111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510-4DD7-BAA5-14EA194A2E60}"/>
            </c:ext>
          </c:extLst>
        </c:ser>
        <c:ser>
          <c:idx val="1"/>
          <c:order val="1"/>
          <c:tx>
            <c:v>Advies</c:v>
          </c:tx>
          <c:spPr>
            <a:ln w="28575" cap="rnd">
              <a:solidFill>
                <a:srgbClr val="8ED973"/>
              </a:solidFill>
              <a:round/>
            </a:ln>
            <a:effectLst/>
          </c:spPr>
          <c:marker>
            <c:symbol val="none"/>
          </c:marker>
          <c:cat>
            <c:strRef>
              <c:f>Perceel_1!$G$110:$M$110</c:f>
              <c:strCache>
                <c:ptCount val="7"/>
                <c:pt idx="0">
                  <c:v>Nwz</c:v>
                </c:pt>
                <c:pt idx="1">
                  <c:v>P2O5 </c:v>
                </c:pt>
                <c:pt idx="2">
                  <c:v>K2O </c:v>
                </c:pt>
                <c:pt idx="3">
                  <c:v>MgO</c:v>
                </c:pt>
                <c:pt idx="4">
                  <c:v>CaO</c:v>
                </c:pt>
                <c:pt idx="5">
                  <c:v>Na2O</c:v>
                </c:pt>
                <c:pt idx="6">
                  <c:v>SO3 </c:v>
                </c:pt>
              </c:strCache>
            </c:strRef>
          </c:cat>
          <c:val>
            <c:numRef>
              <c:f>Perceel_1!$G$117:$M$117</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2510-4DD7-BAA5-14EA194A2E60}"/>
            </c:ext>
          </c:extLst>
        </c:ser>
        <c:dLbls>
          <c:showLegendKey val="0"/>
          <c:showVal val="0"/>
          <c:showCatName val="0"/>
          <c:showSerName val="0"/>
          <c:showPercent val="0"/>
          <c:showBubbleSize val="0"/>
        </c:dLbls>
        <c:axId val="1485906560"/>
        <c:axId val="1485903200"/>
      </c:radarChart>
      <c:catAx>
        <c:axId val="1485906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nl-BE"/>
          </a:p>
        </c:txPr>
        <c:crossAx val="1485903200"/>
        <c:crosses val="autoZero"/>
        <c:auto val="1"/>
        <c:lblAlgn val="ctr"/>
        <c:lblOffset val="100"/>
        <c:noMultiLvlLbl val="0"/>
      </c:catAx>
      <c:valAx>
        <c:axId val="1485903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4859065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Percentage bemest t.o.v.</a:t>
            </a:r>
            <a:r>
              <a:rPr lang="nl-BE" baseline="0"/>
              <a:t> advies</a:t>
            </a:r>
            <a:endParaRPr lang="nl-B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radarChart>
        <c:radarStyle val="marker"/>
        <c:varyColors val="0"/>
        <c:ser>
          <c:idx val="0"/>
          <c:order val="0"/>
          <c:tx>
            <c:v>Totaal bemest</c:v>
          </c:tx>
          <c:spPr>
            <a:ln w="28575" cap="rnd">
              <a:solidFill>
                <a:schemeClr val="accent1"/>
              </a:solidFill>
              <a:round/>
            </a:ln>
            <a:effectLst/>
          </c:spPr>
          <c:marker>
            <c:symbol val="none"/>
          </c:marker>
          <c:cat>
            <c:strRef>
              <c:f>Perceel_1!$G$110:$M$110</c:f>
              <c:strCache>
                <c:ptCount val="7"/>
                <c:pt idx="0">
                  <c:v>Nwz</c:v>
                </c:pt>
                <c:pt idx="1">
                  <c:v>P2O5 </c:v>
                </c:pt>
                <c:pt idx="2">
                  <c:v>K2O </c:v>
                </c:pt>
                <c:pt idx="3">
                  <c:v>MgO</c:v>
                </c:pt>
                <c:pt idx="4">
                  <c:v>CaO</c:v>
                </c:pt>
                <c:pt idx="5">
                  <c:v>Na2O</c:v>
                </c:pt>
                <c:pt idx="6">
                  <c:v>SO3 </c:v>
                </c:pt>
              </c:strCache>
            </c:strRef>
          </c:cat>
          <c:val>
            <c:numRef>
              <c:f>Perceel_1!$G$118:$M$118</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C382-4474-B407-33A14D7C2C84}"/>
            </c:ext>
          </c:extLst>
        </c:ser>
        <c:ser>
          <c:idx val="1"/>
          <c:order val="1"/>
          <c:tx>
            <c:v>Advies</c:v>
          </c:tx>
          <c:spPr>
            <a:ln w="28575" cap="rnd">
              <a:solidFill>
                <a:schemeClr val="accent2"/>
              </a:solidFill>
              <a:round/>
            </a:ln>
            <a:effectLst/>
          </c:spPr>
          <c:marker>
            <c:symbol val="none"/>
          </c:marker>
          <c:cat>
            <c:strRef>
              <c:f>Perceel_1!$G$110:$M$110</c:f>
              <c:strCache>
                <c:ptCount val="7"/>
                <c:pt idx="0">
                  <c:v>Nwz</c:v>
                </c:pt>
                <c:pt idx="1">
                  <c:v>P2O5 </c:v>
                </c:pt>
                <c:pt idx="2">
                  <c:v>K2O </c:v>
                </c:pt>
                <c:pt idx="3">
                  <c:v>MgO</c:v>
                </c:pt>
                <c:pt idx="4">
                  <c:v>CaO</c:v>
                </c:pt>
                <c:pt idx="5">
                  <c:v>Na2O</c:v>
                </c:pt>
                <c:pt idx="6">
                  <c:v>SO3 </c:v>
                </c:pt>
              </c:strCache>
            </c:strRef>
          </c:cat>
          <c:val>
            <c:numRef>
              <c:f>Perceel_1!$G$119:$M$119</c:f>
            </c:numRef>
          </c:val>
          <c:extLst>
            <c:ext xmlns:c16="http://schemas.microsoft.com/office/drawing/2014/chart" uri="{C3380CC4-5D6E-409C-BE32-E72D297353CC}">
              <c16:uniqueId val="{00000001-C382-4474-B407-33A14D7C2C84}"/>
            </c:ext>
          </c:extLst>
        </c:ser>
        <c:ser>
          <c:idx val="2"/>
          <c:order val="2"/>
          <c:tx>
            <c:v>Advies</c:v>
          </c:tx>
          <c:spPr>
            <a:ln w="28575" cap="rnd">
              <a:solidFill>
                <a:srgbClr val="8ED973"/>
              </a:solidFill>
              <a:round/>
            </a:ln>
            <a:effectLst/>
          </c:spPr>
          <c:marker>
            <c:symbol val="none"/>
          </c:marker>
          <c:val>
            <c:numRef>
              <c:f>Perceel_1!$G$120:$M$120</c:f>
              <c:numCache>
                <c:formatCode>0</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0-E0F8-49F4-B3C4-37179DC09DE0}"/>
            </c:ext>
          </c:extLst>
        </c:ser>
        <c:dLbls>
          <c:showLegendKey val="0"/>
          <c:showVal val="0"/>
          <c:showCatName val="0"/>
          <c:showSerName val="0"/>
          <c:showPercent val="0"/>
          <c:showBubbleSize val="0"/>
        </c:dLbls>
        <c:axId val="933104944"/>
        <c:axId val="933105424"/>
      </c:radarChart>
      <c:catAx>
        <c:axId val="933104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nl-BE"/>
          </a:p>
        </c:txPr>
        <c:crossAx val="933105424"/>
        <c:crosses val="autoZero"/>
        <c:auto val="1"/>
        <c:lblAlgn val="ctr"/>
        <c:lblOffset val="100"/>
        <c:noMultiLvlLbl val="0"/>
      </c:catAx>
      <c:valAx>
        <c:axId val="933105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9331049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Bemesting % per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1"/>
          <c:order val="1"/>
          <c:tx>
            <c:strRef>
              <c:f>Perceel_1!$G$110</c:f>
              <c:strCache>
                <c:ptCount val="1"/>
                <c:pt idx="0">
                  <c:v>Nwz</c:v>
                </c:pt>
              </c:strCache>
            </c:strRef>
          </c:tx>
          <c:spPr>
            <a:solidFill>
              <a:srgbClr val="00B050"/>
            </a:solidFill>
            <a:ln>
              <a:noFill/>
            </a:ln>
            <a:effectLst/>
          </c:spPr>
          <c:invertIfNegative val="0"/>
          <c:cat>
            <c:strRef>
              <c:f>Perceel_1!$E$126:$E$131</c:f>
              <c:strCache>
                <c:ptCount val="6"/>
                <c:pt idx="0">
                  <c:v>Voor 1ste snede</c:v>
                </c:pt>
                <c:pt idx="1">
                  <c:v>Voor 2de snede</c:v>
                </c:pt>
                <c:pt idx="2">
                  <c:v>Voor 3de snede</c:v>
                </c:pt>
                <c:pt idx="3">
                  <c:v>Voor 4de snede</c:v>
                </c:pt>
                <c:pt idx="4">
                  <c:v>Voor 5de snede</c:v>
                </c:pt>
                <c:pt idx="5">
                  <c:v>Voor 6de snede</c:v>
                </c:pt>
              </c:strCache>
            </c:strRef>
          </c:cat>
          <c:val>
            <c:numRef>
              <c:f>Perceel_1!$G$126:$G$131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397-47DF-AD7C-111BF5536DC8}"/>
            </c:ext>
          </c:extLst>
        </c:ser>
        <c:ser>
          <c:idx val="2"/>
          <c:order val="2"/>
          <c:tx>
            <c:strRef>
              <c:f>Perceel_1!$H$110</c:f>
              <c:strCache>
                <c:ptCount val="1"/>
                <c:pt idx="0">
                  <c:v>P2O5 </c:v>
                </c:pt>
              </c:strCache>
            </c:strRef>
          </c:tx>
          <c:spPr>
            <a:solidFill>
              <a:schemeClr val="accent5"/>
            </a:solidFill>
            <a:ln>
              <a:noFill/>
            </a:ln>
            <a:effectLst/>
          </c:spPr>
          <c:invertIfNegative val="0"/>
          <c:val>
            <c:numRef>
              <c:f>Perceel_1!$H$126:$H$131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B397-47DF-AD7C-111BF5536DC8}"/>
            </c:ext>
          </c:extLst>
        </c:ser>
        <c:ser>
          <c:idx val="3"/>
          <c:order val="3"/>
          <c:tx>
            <c:strRef>
              <c:f>Perceel_1!$I$110</c:f>
              <c:strCache>
                <c:ptCount val="1"/>
                <c:pt idx="0">
                  <c:v>K2O </c:v>
                </c:pt>
              </c:strCache>
            </c:strRef>
          </c:tx>
          <c:spPr>
            <a:solidFill>
              <a:schemeClr val="accent4"/>
            </a:solidFill>
            <a:ln>
              <a:noFill/>
            </a:ln>
            <a:effectLst/>
          </c:spPr>
          <c:invertIfNegative val="0"/>
          <c:val>
            <c:numRef>
              <c:f>Perceel_1!$I$126:$I$131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B397-47DF-AD7C-111BF5536DC8}"/>
            </c:ext>
          </c:extLst>
        </c:ser>
        <c:ser>
          <c:idx val="4"/>
          <c:order val="4"/>
          <c:tx>
            <c:strRef>
              <c:f>Perceel_1!$J$110</c:f>
              <c:strCache>
                <c:ptCount val="1"/>
                <c:pt idx="0">
                  <c:v>MgO</c:v>
                </c:pt>
              </c:strCache>
            </c:strRef>
          </c:tx>
          <c:spPr>
            <a:solidFill>
              <a:srgbClr val="FFFF00"/>
            </a:solidFill>
            <a:ln>
              <a:noFill/>
            </a:ln>
            <a:effectLst/>
          </c:spPr>
          <c:invertIfNegative val="0"/>
          <c:val>
            <c:numRef>
              <c:f>Perceel_1!$J$126:$J$131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B397-47DF-AD7C-111BF5536DC8}"/>
            </c:ext>
          </c:extLst>
        </c:ser>
        <c:ser>
          <c:idx val="5"/>
          <c:order val="5"/>
          <c:tx>
            <c:strRef>
              <c:f>Perceel_1!$K$110</c:f>
              <c:strCache>
                <c:ptCount val="1"/>
                <c:pt idx="0">
                  <c:v>CaO</c:v>
                </c:pt>
              </c:strCache>
            </c:strRef>
          </c:tx>
          <c:spPr>
            <a:solidFill>
              <a:srgbClr val="FFFFCC"/>
            </a:solidFill>
            <a:ln>
              <a:noFill/>
            </a:ln>
            <a:effectLst/>
          </c:spPr>
          <c:invertIfNegative val="0"/>
          <c:val>
            <c:numRef>
              <c:f>Perceel_1!$K$126:$K$131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B397-47DF-AD7C-111BF5536DC8}"/>
            </c:ext>
          </c:extLst>
        </c:ser>
        <c:ser>
          <c:idx val="6"/>
          <c:order val="6"/>
          <c:tx>
            <c:strRef>
              <c:f>Perceel_1!$L$110</c:f>
              <c:strCache>
                <c:ptCount val="1"/>
                <c:pt idx="0">
                  <c:v>Na2O</c:v>
                </c:pt>
              </c:strCache>
            </c:strRef>
          </c:tx>
          <c:spPr>
            <a:solidFill>
              <a:schemeClr val="accent1">
                <a:lumMod val="60000"/>
              </a:schemeClr>
            </a:solidFill>
            <a:ln>
              <a:noFill/>
            </a:ln>
            <a:effectLst/>
          </c:spPr>
          <c:invertIfNegative val="0"/>
          <c:val>
            <c:numRef>
              <c:f>Perceel_1!$L$126:$L$131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B397-47DF-AD7C-111BF5536DC8}"/>
            </c:ext>
          </c:extLst>
        </c:ser>
        <c:ser>
          <c:idx val="7"/>
          <c:order val="7"/>
          <c:tx>
            <c:strRef>
              <c:f>Perceel_1!$M$110</c:f>
              <c:strCache>
                <c:ptCount val="1"/>
                <c:pt idx="0">
                  <c:v>SO3 </c:v>
                </c:pt>
              </c:strCache>
            </c:strRef>
          </c:tx>
          <c:spPr>
            <a:solidFill>
              <a:schemeClr val="accent2">
                <a:lumMod val="60000"/>
              </a:schemeClr>
            </a:solidFill>
            <a:ln>
              <a:noFill/>
            </a:ln>
            <a:effectLst/>
          </c:spPr>
          <c:invertIfNegative val="0"/>
          <c:val>
            <c:numRef>
              <c:f>Perceel_1!$M$126:$M$131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6-B397-47DF-AD7C-111BF5536DC8}"/>
            </c:ext>
          </c:extLst>
        </c:ser>
        <c:dLbls>
          <c:showLegendKey val="0"/>
          <c:showVal val="0"/>
          <c:showCatName val="0"/>
          <c:showSerName val="0"/>
          <c:showPercent val="0"/>
          <c:showBubbleSize val="0"/>
        </c:dLbls>
        <c:gapWidth val="219"/>
        <c:overlap val="-27"/>
        <c:axId val="624734144"/>
        <c:axId val="624734624"/>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Perceel_1!$E$126:$E$131</c15:sqref>
                        </c15:formulaRef>
                      </c:ext>
                    </c:extLst>
                    <c:strCache>
                      <c:ptCount val="6"/>
                      <c:pt idx="0">
                        <c:v>Voor 1ste snede</c:v>
                      </c:pt>
                      <c:pt idx="1">
                        <c:v>Voor 2de snede</c:v>
                      </c:pt>
                      <c:pt idx="2">
                        <c:v>Voor 3de snede</c:v>
                      </c:pt>
                      <c:pt idx="3">
                        <c:v>Voor 4de snede</c:v>
                      </c:pt>
                      <c:pt idx="4">
                        <c:v>Voor 5de snede</c:v>
                      </c:pt>
                      <c:pt idx="5">
                        <c:v>Voor 6de snede</c:v>
                      </c:pt>
                    </c:strCache>
                  </c:strRef>
                </c:cat>
                <c:val>
                  <c:numRef>
                    <c:extLst>
                      <c:ext uri="{02D57815-91ED-43cb-92C2-25804820EDAC}">
                        <c15:formulaRef>
                          <c15:sqref>Perceel_1!$F$126:$F$131</c15:sqref>
                        </c15:formulaRef>
                      </c:ext>
                    </c:extLst>
                    <c:numCache>
                      <c:formatCode>General</c:formatCode>
                      <c:ptCount val="6"/>
                    </c:numCache>
                  </c:numRef>
                </c:val>
                <c:extLst>
                  <c:ext xmlns:c16="http://schemas.microsoft.com/office/drawing/2014/chart" uri="{C3380CC4-5D6E-409C-BE32-E72D297353CC}">
                    <c16:uniqueId val="{00000007-B397-47DF-AD7C-111BF5536DC8}"/>
                  </c:ext>
                </c:extLst>
              </c15:ser>
            </c15:filteredBarSeries>
          </c:ext>
        </c:extLst>
      </c:barChart>
      <c:catAx>
        <c:axId val="62473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24734624"/>
        <c:crosses val="autoZero"/>
        <c:auto val="1"/>
        <c:lblAlgn val="ctr"/>
        <c:lblOffset val="100"/>
        <c:noMultiLvlLbl val="0"/>
      </c:catAx>
      <c:valAx>
        <c:axId val="6247346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247341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1ste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Perceel_1!$G$69:$M$69</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0B37-47D1-A81F-BF73D1E996EA}"/>
            </c:ext>
          </c:extLst>
        </c:ser>
        <c:ser>
          <c:idx val="1"/>
          <c:order val="1"/>
          <c:tx>
            <c:v>Advies</c:v>
          </c:tx>
          <c:spPr>
            <a:solidFill>
              <a:srgbClr val="8ED973"/>
            </a:solidFill>
            <a:ln>
              <a:noFill/>
            </a:ln>
            <a:effectLst/>
          </c:spPr>
          <c:invertIfNegative val="0"/>
          <c:val>
            <c:numRef>
              <c:f>Perceel_1!$D$35:$J$35</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0B37-47D1-A81F-BF73D1E996EA}"/>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2de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Perceel_1!$G$77:$M$77</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B0F0-40A9-8223-B8CA6D4B502D}"/>
            </c:ext>
          </c:extLst>
        </c:ser>
        <c:ser>
          <c:idx val="1"/>
          <c:order val="1"/>
          <c:tx>
            <c:v>Advies</c:v>
          </c:tx>
          <c:spPr>
            <a:solidFill>
              <a:srgbClr val="8ED973"/>
            </a:solidFill>
            <a:ln>
              <a:noFill/>
            </a:ln>
            <a:effectLst/>
          </c:spPr>
          <c:invertIfNegative val="0"/>
          <c:val>
            <c:numRef>
              <c:f>Perceel_1!$D$36:$J$36</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B0F0-40A9-8223-B8CA6D4B502D}"/>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3de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Perceel_1!$G$85:$M$85</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EA40-4660-B50E-BFAC40B8ED5A}"/>
            </c:ext>
          </c:extLst>
        </c:ser>
        <c:ser>
          <c:idx val="1"/>
          <c:order val="1"/>
          <c:tx>
            <c:v>Advies</c:v>
          </c:tx>
          <c:spPr>
            <a:solidFill>
              <a:srgbClr val="8ED973"/>
            </a:solidFill>
            <a:ln>
              <a:noFill/>
            </a:ln>
            <a:effectLst/>
          </c:spPr>
          <c:invertIfNegative val="0"/>
          <c:val>
            <c:numRef>
              <c:f>Perceel_1!$D$37:$J$37</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EA40-4660-B50E-BFAC40B8ED5A}"/>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4de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Perceel_1!$G$93:$M$93</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B43F-4454-8352-C795377051D8}"/>
            </c:ext>
          </c:extLst>
        </c:ser>
        <c:ser>
          <c:idx val="1"/>
          <c:order val="1"/>
          <c:tx>
            <c:v>Advies</c:v>
          </c:tx>
          <c:spPr>
            <a:solidFill>
              <a:srgbClr val="8ED973"/>
            </a:solidFill>
            <a:ln>
              <a:noFill/>
            </a:ln>
            <a:effectLst/>
          </c:spPr>
          <c:invertIfNegative val="0"/>
          <c:val>
            <c:numRef>
              <c:f>Perceel_1!$D$38:$J$38</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B43F-4454-8352-C795377051D8}"/>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5de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Perceel_1!$G$101:$M$101</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D1C2-4967-A9F5-8424EDFD0A6F}"/>
            </c:ext>
          </c:extLst>
        </c:ser>
        <c:ser>
          <c:idx val="1"/>
          <c:order val="1"/>
          <c:tx>
            <c:v>Advies</c:v>
          </c:tx>
          <c:spPr>
            <a:solidFill>
              <a:srgbClr val="8ED973"/>
            </a:solidFill>
            <a:ln>
              <a:noFill/>
            </a:ln>
            <a:effectLst/>
          </c:spPr>
          <c:invertIfNegative val="0"/>
          <c:val>
            <c:numRef>
              <c:f>Perceel_1!$D$39:$J$39</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D1C2-4967-A9F5-8424EDFD0A6F}"/>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6de snede</a:t>
            </a:r>
          </a:p>
        </c:rich>
      </c:tx>
      <c:layout>
        <c:manualLayout>
          <c:xMode val="edge"/>
          <c:yMode val="edge"/>
          <c:x val="0.43161230842160675"/>
          <c:y val="2.3952095808383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Perceel_1!$G$109:$M$109</c:f>
              <c:numCache>
                <c:formatCode>General</c:formatCode>
                <c:ptCount val="7"/>
                <c:pt idx="0" formatCode="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1D07-4C9E-8F47-F2B93B6BE64E}"/>
            </c:ext>
          </c:extLst>
        </c:ser>
        <c:ser>
          <c:idx val="1"/>
          <c:order val="1"/>
          <c:tx>
            <c:v>Advies</c:v>
          </c:tx>
          <c:spPr>
            <a:solidFill>
              <a:srgbClr val="8ED973"/>
            </a:solidFill>
            <a:ln>
              <a:noFill/>
            </a:ln>
            <a:effectLst/>
          </c:spPr>
          <c:invertIfNegative val="0"/>
          <c:val>
            <c:numRef>
              <c:f>Perceel_1!$D$40:$J$40</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1D07-4C9E-8F47-F2B93B6BE64E}"/>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Kostprijs bemesting (EUR/ha)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stacked"/>
        <c:varyColors val="0"/>
        <c:ser>
          <c:idx val="7"/>
          <c:order val="6"/>
          <c:tx>
            <c:strRef>
              <c:f>Perceel_1!$AF$62</c:f>
              <c:strCache>
                <c:ptCount val="1"/>
              </c:strCache>
            </c:strRef>
          </c:tx>
          <c:spPr>
            <a:solidFill>
              <a:schemeClr val="accent2">
                <a:lumMod val="60000"/>
              </a:schemeClr>
            </a:solidFill>
            <a:ln>
              <a:noFill/>
            </a:ln>
            <a:effectLst/>
          </c:spPr>
          <c:invertIfNegative val="0"/>
          <c:val>
            <c:numRef>
              <c:f>Perceel_1!$AF$109</c:f>
              <c:numCache>
                <c:formatCode>General</c:formatCode>
                <c:ptCount val="1"/>
                <c:pt idx="0">
                  <c:v>0</c:v>
                </c:pt>
              </c:numCache>
            </c:numRef>
          </c:val>
          <c:extLst>
            <c:ext xmlns:c16="http://schemas.microsoft.com/office/drawing/2014/chart" uri="{C3380CC4-5D6E-409C-BE32-E72D297353CC}">
              <c16:uniqueId val="{00000007-4C1A-46C2-8EF3-E4DFF3D99E68}"/>
            </c:ext>
          </c:extLst>
        </c:ser>
        <c:ser>
          <c:idx val="6"/>
          <c:order val="7"/>
          <c:tx>
            <c:strRef>
              <c:f>Perceel_1!$AE$62</c:f>
              <c:strCache>
                <c:ptCount val="1"/>
              </c:strCache>
            </c:strRef>
          </c:tx>
          <c:spPr>
            <a:solidFill>
              <a:schemeClr val="accent1">
                <a:lumMod val="60000"/>
              </a:schemeClr>
            </a:solidFill>
            <a:ln>
              <a:noFill/>
            </a:ln>
            <a:effectLst/>
          </c:spPr>
          <c:invertIfNegative val="0"/>
          <c:val>
            <c:numRef>
              <c:f>Perceel_1!$AE$109</c:f>
              <c:numCache>
                <c:formatCode>General</c:formatCode>
                <c:ptCount val="1"/>
                <c:pt idx="0">
                  <c:v>0</c:v>
                </c:pt>
              </c:numCache>
            </c:numRef>
          </c:val>
          <c:extLst>
            <c:ext xmlns:c16="http://schemas.microsoft.com/office/drawing/2014/chart" uri="{C3380CC4-5D6E-409C-BE32-E72D297353CC}">
              <c16:uniqueId val="{00000006-4C1A-46C2-8EF3-E4DFF3D99E68}"/>
            </c:ext>
          </c:extLst>
        </c:ser>
        <c:ser>
          <c:idx val="5"/>
          <c:order val="8"/>
          <c:tx>
            <c:strRef>
              <c:f>Perceel_1!$AD$62</c:f>
              <c:strCache>
                <c:ptCount val="1"/>
              </c:strCache>
            </c:strRef>
          </c:tx>
          <c:spPr>
            <a:solidFill>
              <a:schemeClr val="accent6"/>
            </a:solidFill>
            <a:ln>
              <a:noFill/>
            </a:ln>
            <a:effectLst/>
          </c:spPr>
          <c:invertIfNegative val="0"/>
          <c:val>
            <c:numRef>
              <c:f>Perceel_1!$AD$109</c:f>
              <c:numCache>
                <c:formatCode>General</c:formatCode>
                <c:ptCount val="1"/>
                <c:pt idx="0">
                  <c:v>0</c:v>
                </c:pt>
              </c:numCache>
            </c:numRef>
          </c:val>
          <c:extLst>
            <c:ext xmlns:c16="http://schemas.microsoft.com/office/drawing/2014/chart" uri="{C3380CC4-5D6E-409C-BE32-E72D297353CC}">
              <c16:uniqueId val="{00000005-4C1A-46C2-8EF3-E4DFF3D99E68}"/>
            </c:ext>
          </c:extLst>
        </c:ser>
        <c:ser>
          <c:idx val="4"/>
          <c:order val="9"/>
          <c:tx>
            <c:strRef>
              <c:f>Perceel_1!$AC$62</c:f>
              <c:strCache>
                <c:ptCount val="1"/>
              </c:strCache>
            </c:strRef>
          </c:tx>
          <c:spPr>
            <a:solidFill>
              <a:schemeClr val="accent5"/>
            </a:solidFill>
            <a:ln>
              <a:noFill/>
            </a:ln>
            <a:effectLst/>
          </c:spPr>
          <c:invertIfNegative val="0"/>
          <c:val>
            <c:numRef>
              <c:f>Perceel_1!$AC$109</c:f>
              <c:numCache>
                <c:formatCode>General</c:formatCode>
                <c:ptCount val="1"/>
                <c:pt idx="0">
                  <c:v>0</c:v>
                </c:pt>
              </c:numCache>
            </c:numRef>
          </c:val>
          <c:extLst>
            <c:ext xmlns:c16="http://schemas.microsoft.com/office/drawing/2014/chart" uri="{C3380CC4-5D6E-409C-BE32-E72D297353CC}">
              <c16:uniqueId val="{00000004-4C1A-46C2-8EF3-E4DFF3D99E68}"/>
            </c:ext>
          </c:extLst>
        </c:ser>
        <c:ser>
          <c:idx val="3"/>
          <c:order val="10"/>
          <c:tx>
            <c:strRef>
              <c:f>Perceel_1!$AB$62</c:f>
              <c:strCache>
                <c:ptCount val="1"/>
              </c:strCache>
            </c:strRef>
          </c:tx>
          <c:spPr>
            <a:solidFill>
              <a:schemeClr val="accent4"/>
            </a:solidFill>
            <a:ln>
              <a:noFill/>
            </a:ln>
            <a:effectLst/>
          </c:spPr>
          <c:invertIfNegative val="0"/>
          <c:val>
            <c:numRef>
              <c:f>Perceel_1!$AB$109</c:f>
              <c:numCache>
                <c:formatCode>General</c:formatCode>
                <c:ptCount val="1"/>
                <c:pt idx="0">
                  <c:v>0</c:v>
                </c:pt>
              </c:numCache>
            </c:numRef>
          </c:val>
          <c:extLst>
            <c:ext xmlns:c16="http://schemas.microsoft.com/office/drawing/2014/chart" uri="{C3380CC4-5D6E-409C-BE32-E72D297353CC}">
              <c16:uniqueId val="{00000003-4C1A-46C2-8EF3-E4DFF3D99E68}"/>
            </c:ext>
          </c:extLst>
        </c:ser>
        <c:ser>
          <c:idx val="2"/>
          <c:order val="11"/>
          <c:tx>
            <c:strRef>
              <c:f>Perceel_1!$AA$62</c:f>
              <c:strCache>
                <c:ptCount val="1"/>
              </c:strCache>
            </c:strRef>
          </c:tx>
          <c:spPr>
            <a:solidFill>
              <a:schemeClr val="accent3"/>
            </a:solidFill>
            <a:ln>
              <a:noFill/>
            </a:ln>
            <a:effectLst/>
          </c:spPr>
          <c:invertIfNegative val="0"/>
          <c:val>
            <c:numRef>
              <c:f>Perceel_1!$AA$109</c:f>
              <c:numCache>
                <c:formatCode>General</c:formatCode>
                <c:ptCount val="1"/>
                <c:pt idx="0">
                  <c:v>0</c:v>
                </c:pt>
              </c:numCache>
            </c:numRef>
          </c:val>
          <c:extLst>
            <c:ext xmlns:c16="http://schemas.microsoft.com/office/drawing/2014/chart" uri="{C3380CC4-5D6E-409C-BE32-E72D297353CC}">
              <c16:uniqueId val="{00000002-4C1A-46C2-8EF3-E4DFF3D99E68}"/>
            </c:ext>
          </c:extLst>
        </c:ser>
        <c:ser>
          <c:idx val="1"/>
          <c:order val="12"/>
          <c:tx>
            <c:strRef>
              <c:f>Perceel_1!$Z$62</c:f>
              <c:strCache>
                <c:ptCount val="1"/>
              </c:strCache>
            </c:strRef>
          </c:tx>
          <c:spPr>
            <a:solidFill>
              <a:schemeClr val="accent2"/>
            </a:solidFill>
            <a:ln>
              <a:noFill/>
            </a:ln>
            <a:effectLst/>
          </c:spPr>
          <c:invertIfNegative val="0"/>
          <c:val>
            <c:numRef>
              <c:f>Perceel_1!$Z$109</c:f>
              <c:numCache>
                <c:formatCode>General</c:formatCode>
                <c:ptCount val="1"/>
                <c:pt idx="0">
                  <c:v>0</c:v>
                </c:pt>
              </c:numCache>
            </c:numRef>
          </c:val>
          <c:extLst>
            <c:ext xmlns:c16="http://schemas.microsoft.com/office/drawing/2014/chart" uri="{C3380CC4-5D6E-409C-BE32-E72D297353CC}">
              <c16:uniqueId val="{00000001-4C1A-46C2-8EF3-E4DFF3D99E68}"/>
            </c:ext>
          </c:extLst>
        </c:ser>
        <c:ser>
          <c:idx val="0"/>
          <c:order val="13"/>
          <c:tx>
            <c:strRef>
              <c:f>Perceel_1!$Y$62</c:f>
              <c:strCache>
                <c:ptCount val="1"/>
              </c:strCache>
            </c:strRef>
          </c:tx>
          <c:spPr>
            <a:solidFill>
              <a:schemeClr val="accent1"/>
            </a:solidFill>
            <a:ln>
              <a:noFill/>
            </a:ln>
            <a:effectLst/>
          </c:spPr>
          <c:invertIfNegative val="0"/>
          <c:val>
            <c:numRef>
              <c:f>Perceel_1!$Y$109</c:f>
              <c:numCache>
                <c:formatCode>General</c:formatCode>
                <c:ptCount val="1"/>
                <c:pt idx="0">
                  <c:v>0</c:v>
                </c:pt>
              </c:numCache>
            </c:numRef>
          </c:val>
          <c:extLst>
            <c:ext xmlns:c16="http://schemas.microsoft.com/office/drawing/2014/chart" uri="{C3380CC4-5D6E-409C-BE32-E72D297353CC}">
              <c16:uniqueId val="{00000000-4C1A-46C2-8EF3-E4DFF3D99E68}"/>
            </c:ext>
          </c:extLst>
        </c:ser>
        <c:dLbls>
          <c:showLegendKey val="0"/>
          <c:showVal val="0"/>
          <c:showCatName val="0"/>
          <c:showSerName val="0"/>
          <c:showPercent val="0"/>
          <c:showBubbleSize val="0"/>
        </c:dLbls>
        <c:gapWidth val="150"/>
        <c:overlap val="100"/>
        <c:axId val="777525200"/>
        <c:axId val="777518000"/>
        <c:extLst>
          <c:ext xmlns:c15="http://schemas.microsoft.com/office/drawing/2012/chart" uri="{02D57815-91ED-43cb-92C2-25804820EDAC}">
            <c15:filteredBarSeries>
              <c15:ser>
                <c:idx val="13"/>
                <c:order val="0"/>
                <c:tx>
                  <c:strRef>
                    <c:extLst>
                      <c:ext uri="{02D57815-91ED-43cb-92C2-25804820EDAC}">
                        <c15:formulaRef>
                          <c15:sqref>Perceel_1!$AL$62</c15:sqref>
                        </c15:formulaRef>
                      </c:ext>
                    </c:extLst>
                    <c:strCache>
                      <c:ptCount val="1"/>
                    </c:strCache>
                  </c:strRef>
                </c:tx>
                <c:spPr>
                  <a:solidFill>
                    <a:schemeClr val="accent2">
                      <a:lumMod val="80000"/>
                      <a:lumOff val="20000"/>
                    </a:schemeClr>
                  </a:solidFill>
                  <a:ln>
                    <a:noFill/>
                  </a:ln>
                  <a:effectLst/>
                </c:spPr>
                <c:invertIfNegative val="0"/>
                <c:val>
                  <c:numRef>
                    <c:extLst>
                      <c:ext uri="{02D57815-91ED-43cb-92C2-25804820EDAC}">
                        <c15:formulaRef>
                          <c15:sqref>Perceel_1!$AL$109</c15:sqref>
                        </c15:formulaRef>
                      </c:ext>
                    </c:extLst>
                    <c:numCache>
                      <c:formatCode>General</c:formatCode>
                      <c:ptCount val="1"/>
                      <c:pt idx="0">
                        <c:v>0</c:v>
                      </c:pt>
                    </c:numCache>
                  </c:numRef>
                </c:val>
                <c:extLst>
                  <c:ext xmlns:c16="http://schemas.microsoft.com/office/drawing/2014/chart" uri="{C3380CC4-5D6E-409C-BE32-E72D297353CC}">
                    <c16:uniqueId val="{0000000D-4C1A-46C2-8EF3-E4DFF3D99E68}"/>
                  </c:ext>
                </c:extLst>
              </c15:ser>
            </c15:filteredBarSeries>
            <c15:filteredBarSeries>
              <c15:ser>
                <c:idx val="12"/>
                <c:order val="1"/>
                <c:tx>
                  <c:strRef>
                    <c:extLst xmlns:c15="http://schemas.microsoft.com/office/drawing/2012/chart">
                      <c:ext xmlns:c15="http://schemas.microsoft.com/office/drawing/2012/chart" uri="{02D57815-91ED-43cb-92C2-25804820EDAC}">
                        <c15:formulaRef>
                          <c15:sqref>Perceel_1!$AK$62</c15:sqref>
                        </c15:formulaRef>
                      </c:ext>
                    </c:extLst>
                    <c:strCache>
                      <c:ptCount val="1"/>
                    </c:strCache>
                  </c:strRef>
                </c:tx>
                <c:spPr>
                  <a:solidFill>
                    <a:schemeClr val="accent1">
                      <a:lumMod val="80000"/>
                      <a:lumOff val="2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Perceel_1!$AK$109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C-4C1A-46C2-8EF3-E4DFF3D99E68}"/>
                  </c:ext>
                </c:extLst>
              </c15:ser>
            </c15:filteredBarSeries>
            <c15:filteredBarSeries>
              <c15:ser>
                <c:idx val="11"/>
                <c:order val="2"/>
                <c:tx>
                  <c:strRef>
                    <c:extLst xmlns:c15="http://schemas.microsoft.com/office/drawing/2012/chart">
                      <c:ext xmlns:c15="http://schemas.microsoft.com/office/drawing/2012/chart" uri="{02D57815-91ED-43cb-92C2-25804820EDAC}">
                        <c15:formulaRef>
                          <c15:sqref>Perceel_1!$AJ$62</c15:sqref>
                        </c15:formulaRef>
                      </c:ext>
                    </c:extLst>
                    <c:strCache>
                      <c:ptCount val="1"/>
                    </c:strCache>
                  </c:strRef>
                </c:tx>
                <c:spPr>
                  <a:solidFill>
                    <a:schemeClr val="accent6">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Perceel_1!$AJ$109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B-4C1A-46C2-8EF3-E4DFF3D99E68}"/>
                  </c:ext>
                </c:extLst>
              </c15:ser>
            </c15:filteredBarSeries>
            <c15:filteredBarSeries>
              <c15:ser>
                <c:idx val="10"/>
                <c:order val="3"/>
                <c:tx>
                  <c:strRef>
                    <c:extLst xmlns:c15="http://schemas.microsoft.com/office/drawing/2012/chart">
                      <c:ext xmlns:c15="http://schemas.microsoft.com/office/drawing/2012/chart" uri="{02D57815-91ED-43cb-92C2-25804820EDAC}">
                        <c15:formulaRef>
                          <c15:sqref>Perceel_1!$AI$62</c15:sqref>
                        </c15:formulaRef>
                      </c:ext>
                    </c:extLst>
                    <c:strCache>
                      <c:ptCount val="1"/>
                    </c:strCache>
                  </c:strRef>
                </c:tx>
                <c:spPr>
                  <a:solidFill>
                    <a:schemeClr val="accent5">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Perceel_1!$AI$109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A-4C1A-46C2-8EF3-E4DFF3D99E68}"/>
                  </c:ext>
                </c:extLst>
              </c15:ser>
            </c15:filteredBarSeries>
            <c15:filteredBarSeries>
              <c15:ser>
                <c:idx val="9"/>
                <c:order val="4"/>
                <c:tx>
                  <c:strRef>
                    <c:extLst xmlns:c15="http://schemas.microsoft.com/office/drawing/2012/chart">
                      <c:ext xmlns:c15="http://schemas.microsoft.com/office/drawing/2012/chart" uri="{02D57815-91ED-43cb-92C2-25804820EDAC}">
                        <c15:formulaRef>
                          <c15:sqref>Perceel_1!$AH$62</c15:sqref>
                        </c15:formulaRef>
                      </c:ext>
                    </c:extLst>
                    <c:strCache>
                      <c:ptCount val="1"/>
                    </c:strCache>
                  </c:strRef>
                </c:tx>
                <c:spPr>
                  <a:solidFill>
                    <a:schemeClr val="accent4">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Perceel_1!$AH$109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9-4C1A-46C2-8EF3-E4DFF3D99E68}"/>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Perceel_1!$AG$62</c15:sqref>
                        </c15:formulaRef>
                      </c:ext>
                    </c:extLst>
                    <c:strCache>
                      <c:ptCount val="1"/>
                    </c:strCache>
                  </c:strRef>
                </c:tx>
                <c:spPr>
                  <a:solidFill>
                    <a:schemeClr val="accent3">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Perceel_1!$AG$109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8-4C1A-46C2-8EF3-E4DFF3D99E68}"/>
                  </c:ext>
                </c:extLst>
              </c15:ser>
            </c15:filteredBarSeries>
          </c:ext>
        </c:extLst>
      </c:barChart>
      <c:catAx>
        <c:axId val="777525200"/>
        <c:scaling>
          <c:orientation val="minMax"/>
        </c:scaling>
        <c:delete val="1"/>
        <c:axPos val="b"/>
        <c:numFmt formatCode="General" sourceLinked="1"/>
        <c:majorTickMark val="none"/>
        <c:minorTickMark val="none"/>
        <c:tickLblPos val="nextTo"/>
        <c:crossAx val="777518000"/>
        <c:crosses val="autoZero"/>
        <c:auto val="1"/>
        <c:lblAlgn val="ctr"/>
        <c:lblOffset val="100"/>
        <c:noMultiLvlLbl val="0"/>
      </c:catAx>
      <c:valAx>
        <c:axId val="7775180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775252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Totaal bemest (kg/ha)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radarChart>
        <c:radarStyle val="marker"/>
        <c:varyColors val="0"/>
        <c:ser>
          <c:idx val="0"/>
          <c:order val="0"/>
          <c:tx>
            <c:v>Totaal bemest</c:v>
          </c:tx>
          <c:spPr>
            <a:ln w="28575" cap="rnd">
              <a:solidFill>
                <a:schemeClr val="accent1"/>
              </a:solidFill>
              <a:round/>
            </a:ln>
            <a:effectLst/>
          </c:spPr>
          <c:marker>
            <c:symbol val="none"/>
          </c:marker>
          <c:cat>
            <c:strRef>
              <c:f>Perceel_2!$G$110:$M$110</c:f>
              <c:strCache>
                <c:ptCount val="7"/>
                <c:pt idx="0">
                  <c:v>Nwz</c:v>
                </c:pt>
                <c:pt idx="1">
                  <c:v>P2O5 </c:v>
                </c:pt>
                <c:pt idx="2">
                  <c:v>K2O </c:v>
                </c:pt>
                <c:pt idx="3">
                  <c:v>MgO</c:v>
                </c:pt>
                <c:pt idx="4">
                  <c:v>CaO</c:v>
                </c:pt>
                <c:pt idx="5">
                  <c:v>Na2O</c:v>
                </c:pt>
                <c:pt idx="6">
                  <c:v>SO3 </c:v>
                </c:pt>
              </c:strCache>
            </c:strRef>
          </c:cat>
          <c:val>
            <c:numRef>
              <c:f>Perceel_2!$G$111:$M$111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E83E-403D-A13E-AAF6CA5C6900}"/>
            </c:ext>
          </c:extLst>
        </c:ser>
        <c:ser>
          <c:idx val="1"/>
          <c:order val="1"/>
          <c:tx>
            <c:v>Advies</c:v>
          </c:tx>
          <c:spPr>
            <a:ln w="28575" cap="rnd">
              <a:solidFill>
                <a:srgbClr val="8ED973"/>
              </a:solidFill>
              <a:round/>
            </a:ln>
            <a:effectLst/>
          </c:spPr>
          <c:marker>
            <c:symbol val="none"/>
          </c:marker>
          <c:cat>
            <c:strRef>
              <c:f>Perceel_2!$G$110:$M$110</c:f>
              <c:strCache>
                <c:ptCount val="7"/>
                <c:pt idx="0">
                  <c:v>Nwz</c:v>
                </c:pt>
                <c:pt idx="1">
                  <c:v>P2O5 </c:v>
                </c:pt>
                <c:pt idx="2">
                  <c:v>K2O </c:v>
                </c:pt>
                <c:pt idx="3">
                  <c:v>MgO</c:v>
                </c:pt>
                <c:pt idx="4">
                  <c:v>CaO</c:v>
                </c:pt>
                <c:pt idx="5">
                  <c:v>Na2O</c:v>
                </c:pt>
                <c:pt idx="6">
                  <c:v>SO3 </c:v>
                </c:pt>
              </c:strCache>
            </c:strRef>
          </c:cat>
          <c:val>
            <c:numRef>
              <c:f>Perceel_2!$G$117:$M$117</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E83E-403D-A13E-AAF6CA5C6900}"/>
            </c:ext>
          </c:extLst>
        </c:ser>
        <c:dLbls>
          <c:showLegendKey val="0"/>
          <c:showVal val="0"/>
          <c:showCatName val="0"/>
          <c:showSerName val="0"/>
          <c:showPercent val="0"/>
          <c:showBubbleSize val="0"/>
        </c:dLbls>
        <c:axId val="1485906560"/>
        <c:axId val="1485903200"/>
      </c:radarChart>
      <c:catAx>
        <c:axId val="1485906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nl-BE"/>
          </a:p>
        </c:txPr>
        <c:crossAx val="1485903200"/>
        <c:crosses val="autoZero"/>
        <c:auto val="1"/>
        <c:lblAlgn val="ctr"/>
        <c:lblOffset val="100"/>
        <c:noMultiLvlLbl val="0"/>
      </c:catAx>
      <c:valAx>
        <c:axId val="1485903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4859065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Percentage bemest t.o.v.</a:t>
            </a:r>
            <a:r>
              <a:rPr lang="nl-BE" baseline="0"/>
              <a:t> advies</a:t>
            </a:r>
            <a:endParaRPr lang="nl-B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radarChart>
        <c:radarStyle val="marker"/>
        <c:varyColors val="0"/>
        <c:ser>
          <c:idx val="0"/>
          <c:order val="0"/>
          <c:tx>
            <c:v>Totaal bemest</c:v>
          </c:tx>
          <c:spPr>
            <a:ln w="28575" cap="rnd">
              <a:solidFill>
                <a:schemeClr val="accent1"/>
              </a:solidFill>
              <a:round/>
            </a:ln>
            <a:effectLst/>
          </c:spPr>
          <c:marker>
            <c:symbol val="none"/>
          </c:marker>
          <c:cat>
            <c:strRef>
              <c:f>Perceel_2!$G$110:$M$110</c:f>
              <c:strCache>
                <c:ptCount val="7"/>
                <c:pt idx="0">
                  <c:v>Nwz</c:v>
                </c:pt>
                <c:pt idx="1">
                  <c:v>P2O5 </c:v>
                </c:pt>
                <c:pt idx="2">
                  <c:v>K2O </c:v>
                </c:pt>
                <c:pt idx="3">
                  <c:v>MgO</c:v>
                </c:pt>
                <c:pt idx="4">
                  <c:v>CaO</c:v>
                </c:pt>
                <c:pt idx="5">
                  <c:v>Na2O</c:v>
                </c:pt>
                <c:pt idx="6">
                  <c:v>SO3 </c:v>
                </c:pt>
              </c:strCache>
            </c:strRef>
          </c:cat>
          <c:val>
            <c:numRef>
              <c:f>Perceel_2!$G$118:$M$118</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A86-4495-8935-7E2D75212D08}"/>
            </c:ext>
          </c:extLst>
        </c:ser>
        <c:ser>
          <c:idx val="1"/>
          <c:order val="1"/>
          <c:tx>
            <c:v>Advies</c:v>
          </c:tx>
          <c:spPr>
            <a:ln w="28575" cap="rnd">
              <a:solidFill>
                <a:schemeClr val="accent2"/>
              </a:solidFill>
              <a:round/>
            </a:ln>
            <a:effectLst/>
          </c:spPr>
          <c:marker>
            <c:symbol val="none"/>
          </c:marker>
          <c:cat>
            <c:strRef>
              <c:f>Perceel_1!$G$110:$M$110</c:f>
              <c:strCache>
                <c:ptCount val="7"/>
                <c:pt idx="0">
                  <c:v>Nwz</c:v>
                </c:pt>
                <c:pt idx="1">
                  <c:v>P2O5 </c:v>
                </c:pt>
                <c:pt idx="2">
                  <c:v>K2O </c:v>
                </c:pt>
                <c:pt idx="3">
                  <c:v>MgO</c:v>
                </c:pt>
                <c:pt idx="4">
                  <c:v>CaO</c:v>
                </c:pt>
                <c:pt idx="5">
                  <c:v>Na2O</c:v>
                </c:pt>
                <c:pt idx="6">
                  <c:v>SO3 </c:v>
                </c:pt>
              </c:strCache>
            </c:strRef>
          </c:cat>
          <c:val>
            <c:numRef>
              <c:f>Perceel_1!$G$119:$M$119</c:f>
            </c:numRef>
          </c:val>
          <c:extLst>
            <c:ext xmlns:c16="http://schemas.microsoft.com/office/drawing/2014/chart" uri="{C3380CC4-5D6E-409C-BE32-E72D297353CC}">
              <c16:uniqueId val="{00000001-0A86-4495-8935-7E2D75212D08}"/>
            </c:ext>
          </c:extLst>
        </c:ser>
        <c:ser>
          <c:idx val="2"/>
          <c:order val="2"/>
          <c:tx>
            <c:v>Advies</c:v>
          </c:tx>
          <c:spPr>
            <a:ln w="28575" cap="rnd">
              <a:solidFill>
                <a:srgbClr val="8ED973"/>
              </a:solidFill>
              <a:round/>
            </a:ln>
            <a:effectLst/>
          </c:spPr>
          <c:marker>
            <c:symbol val="none"/>
          </c:marker>
          <c:val>
            <c:numRef>
              <c:f>Perceel_2!$G$120:$M$120</c:f>
              <c:numCache>
                <c:formatCode>0</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2-0A86-4495-8935-7E2D75212D08}"/>
            </c:ext>
          </c:extLst>
        </c:ser>
        <c:dLbls>
          <c:showLegendKey val="0"/>
          <c:showVal val="0"/>
          <c:showCatName val="0"/>
          <c:showSerName val="0"/>
          <c:showPercent val="0"/>
          <c:showBubbleSize val="0"/>
        </c:dLbls>
        <c:axId val="933104944"/>
        <c:axId val="933105424"/>
      </c:radarChart>
      <c:catAx>
        <c:axId val="933104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nl-BE"/>
          </a:p>
        </c:txPr>
        <c:crossAx val="933105424"/>
        <c:crosses val="autoZero"/>
        <c:auto val="1"/>
        <c:lblAlgn val="ctr"/>
        <c:lblOffset val="100"/>
        <c:noMultiLvlLbl val="0"/>
      </c:catAx>
      <c:valAx>
        <c:axId val="933105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9331049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Bemesting % per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1"/>
          <c:order val="1"/>
          <c:tx>
            <c:strRef>
              <c:f>Perceel_2!$G$110</c:f>
              <c:strCache>
                <c:ptCount val="1"/>
                <c:pt idx="0">
                  <c:v>Nwz</c:v>
                </c:pt>
              </c:strCache>
            </c:strRef>
          </c:tx>
          <c:spPr>
            <a:solidFill>
              <a:srgbClr val="00B050"/>
            </a:solidFill>
            <a:ln>
              <a:noFill/>
            </a:ln>
            <a:effectLst/>
          </c:spPr>
          <c:invertIfNegative val="0"/>
          <c:cat>
            <c:strRef>
              <c:f>Perceel_2!$E$126:$E$131</c:f>
              <c:strCache>
                <c:ptCount val="6"/>
                <c:pt idx="0">
                  <c:v>Voor 1ste snede</c:v>
                </c:pt>
                <c:pt idx="1">
                  <c:v>Voor 2de snede</c:v>
                </c:pt>
                <c:pt idx="2">
                  <c:v>Voor 3de snede</c:v>
                </c:pt>
                <c:pt idx="3">
                  <c:v>Voor 4de snede</c:v>
                </c:pt>
                <c:pt idx="4">
                  <c:v>Voor 5de snede</c:v>
                </c:pt>
                <c:pt idx="5">
                  <c:v>Voor 6de snede</c:v>
                </c:pt>
              </c:strCache>
            </c:strRef>
          </c:cat>
          <c:val>
            <c:numRef>
              <c:f>Perceel_2!$G$126:$G$131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3001-427F-BA50-1E6EF984AA8D}"/>
            </c:ext>
          </c:extLst>
        </c:ser>
        <c:ser>
          <c:idx val="2"/>
          <c:order val="2"/>
          <c:tx>
            <c:strRef>
              <c:f>Perceel_2!$H$110</c:f>
              <c:strCache>
                <c:ptCount val="1"/>
                <c:pt idx="0">
                  <c:v>P2O5 </c:v>
                </c:pt>
              </c:strCache>
            </c:strRef>
          </c:tx>
          <c:spPr>
            <a:solidFill>
              <a:schemeClr val="accent5"/>
            </a:solidFill>
            <a:ln>
              <a:noFill/>
            </a:ln>
            <a:effectLst/>
          </c:spPr>
          <c:invertIfNegative val="0"/>
          <c:val>
            <c:numRef>
              <c:f>Perceel_2!$H$126:$H$131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3001-427F-BA50-1E6EF984AA8D}"/>
            </c:ext>
          </c:extLst>
        </c:ser>
        <c:ser>
          <c:idx val="3"/>
          <c:order val="3"/>
          <c:tx>
            <c:strRef>
              <c:f>Perceel_2!$I$110</c:f>
              <c:strCache>
                <c:ptCount val="1"/>
                <c:pt idx="0">
                  <c:v>K2O </c:v>
                </c:pt>
              </c:strCache>
            </c:strRef>
          </c:tx>
          <c:spPr>
            <a:solidFill>
              <a:schemeClr val="accent4"/>
            </a:solidFill>
            <a:ln>
              <a:noFill/>
            </a:ln>
            <a:effectLst/>
          </c:spPr>
          <c:invertIfNegative val="0"/>
          <c:val>
            <c:numRef>
              <c:f>Perceel_2!$I$126:$I$131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3001-427F-BA50-1E6EF984AA8D}"/>
            </c:ext>
          </c:extLst>
        </c:ser>
        <c:ser>
          <c:idx val="4"/>
          <c:order val="4"/>
          <c:tx>
            <c:strRef>
              <c:f>Perceel_2!$J$110</c:f>
              <c:strCache>
                <c:ptCount val="1"/>
                <c:pt idx="0">
                  <c:v>MgO</c:v>
                </c:pt>
              </c:strCache>
            </c:strRef>
          </c:tx>
          <c:spPr>
            <a:solidFill>
              <a:srgbClr val="FFFF00"/>
            </a:solidFill>
            <a:ln>
              <a:noFill/>
            </a:ln>
            <a:effectLst/>
          </c:spPr>
          <c:invertIfNegative val="0"/>
          <c:val>
            <c:numRef>
              <c:f>Perceel_2!$J$126:$J$131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3001-427F-BA50-1E6EF984AA8D}"/>
            </c:ext>
          </c:extLst>
        </c:ser>
        <c:ser>
          <c:idx val="5"/>
          <c:order val="5"/>
          <c:tx>
            <c:strRef>
              <c:f>Perceel_2!$K$110</c:f>
              <c:strCache>
                <c:ptCount val="1"/>
                <c:pt idx="0">
                  <c:v>CaO</c:v>
                </c:pt>
              </c:strCache>
            </c:strRef>
          </c:tx>
          <c:spPr>
            <a:solidFill>
              <a:srgbClr val="FFFFCC"/>
            </a:solidFill>
            <a:ln>
              <a:noFill/>
            </a:ln>
            <a:effectLst/>
          </c:spPr>
          <c:invertIfNegative val="0"/>
          <c:val>
            <c:numRef>
              <c:f>Perceel_2!$K$126:$K$131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3001-427F-BA50-1E6EF984AA8D}"/>
            </c:ext>
          </c:extLst>
        </c:ser>
        <c:ser>
          <c:idx val="6"/>
          <c:order val="6"/>
          <c:tx>
            <c:strRef>
              <c:f>Perceel_2!$L$110</c:f>
              <c:strCache>
                <c:ptCount val="1"/>
                <c:pt idx="0">
                  <c:v>Na2O</c:v>
                </c:pt>
              </c:strCache>
            </c:strRef>
          </c:tx>
          <c:spPr>
            <a:solidFill>
              <a:schemeClr val="accent1">
                <a:lumMod val="60000"/>
              </a:schemeClr>
            </a:solidFill>
            <a:ln>
              <a:noFill/>
            </a:ln>
            <a:effectLst/>
          </c:spPr>
          <c:invertIfNegative val="0"/>
          <c:val>
            <c:numRef>
              <c:f>Perceel_2!$L$126:$L$131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3001-427F-BA50-1E6EF984AA8D}"/>
            </c:ext>
          </c:extLst>
        </c:ser>
        <c:ser>
          <c:idx val="7"/>
          <c:order val="7"/>
          <c:tx>
            <c:strRef>
              <c:f>Perceel_2!$M$110</c:f>
              <c:strCache>
                <c:ptCount val="1"/>
                <c:pt idx="0">
                  <c:v>SO3 </c:v>
                </c:pt>
              </c:strCache>
            </c:strRef>
          </c:tx>
          <c:spPr>
            <a:solidFill>
              <a:schemeClr val="accent2">
                <a:lumMod val="60000"/>
              </a:schemeClr>
            </a:solidFill>
            <a:ln>
              <a:noFill/>
            </a:ln>
            <a:effectLst/>
          </c:spPr>
          <c:invertIfNegative val="0"/>
          <c:val>
            <c:numRef>
              <c:f>Perceel_2!$M$126:$M$131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6-3001-427F-BA50-1E6EF984AA8D}"/>
            </c:ext>
          </c:extLst>
        </c:ser>
        <c:dLbls>
          <c:showLegendKey val="0"/>
          <c:showVal val="0"/>
          <c:showCatName val="0"/>
          <c:showSerName val="0"/>
          <c:showPercent val="0"/>
          <c:showBubbleSize val="0"/>
        </c:dLbls>
        <c:gapWidth val="219"/>
        <c:overlap val="-27"/>
        <c:axId val="624734144"/>
        <c:axId val="624734624"/>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Perceel_2!$E$126:$E$131</c15:sqref>
                        </c15:formulaRef>
                      </c:ext>
                    </c:extLst>
                    <c:strCache>
                      <c:ptCount val="6"/>
                      <c:pt idx="0">
                        <c:v>Voor 1ste snede</c:v>
                      </c:pt>
                      <c:pt idx="1">
                        <c:v>Voor 2de snede</c:v>
                      </c:pt>
                      <c:pt idx="2">
                        <c:v>Voor 3de snede</c:v>
                      </c:pt>
                      <c:pt idx="3">
                        <c:v>Voor 4de snede</c:v>
                      </c:pt>
                      <c:pt idx="4">
                        <c:v>Voor 5de snede</c:v>
                      </c:pt>
                      <c:pt idx="5">
                        <c:v>Voor 6de snede</c:v>
                      </c:pt>
                    </c:strCache>
                  </c:strRef>
                </c:cat>
                <c:val>
                  <c:numRef>
                    <c:extLst>
                      <c:ext uri="{02D57815-91ED-43cb-92C2-25804820EDAC}">
                        <c15:formulaRef>
                          <c15:sqref>Perceel_2!$F$126:$F$131</c15:sqref>
                        </c15:formulaRef>
                      </c:ext>
                    </c:extLst>
                    <c:numCache>
                      <c:formatCode>General</c:formatCode>
                      <c:ptCount val="6"/>
                    </c:numCache>
                  </c:numRef>
                </c:val>
                <c:extLst>
                  <c:ext xmlns:c16="http://schemas.microsoft.com/office/drawing/2014/chart" uri="{C3380CC4-5D6E-409C-BE32-E72D297353CC}">
                    <c16:uniqueId val="{00000007-3001-427F-BA50-1E6EF984AA8D}"/>
                  </c:ext>
                </c:extLst>
              </c15:ser>
            </c15:filteredBarSeries>
          </c:ext>
        </c:extLst>
      </c:barChart>
      <c:catAx>
        <c:axId val="62473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24734624"/>
        <c:crosses val="autoZero"/>
        <c:auto val="1"/>
        <c:lblAlgn val="ctr"/>
        <c:lblOffset val="100"/>
        <c:noMultiLvlLbl val="0"/>
      </c:catAx>
      <c:valAx>
        <c:axId val="6247346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247341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1ste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Perceel_2!$G$69:$M$69</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3062-4FFB-9653-FA97BC4FC12C}"/>
            </c:ext>
          </c:extLst>
        </c:ser>
        <c:ser>
          <c:idx val="1"/>
          <c:order val="1"/>
          <c:tx>
            <c:v>Advies</c:v>
          </c:tx>
          <c:spPr>
            <a:solidFill>
              <a:srgbClr val="8ED973"/>
            </a:solidFill>
            <a:ln>
              <a:noFill/>
            </a:ln>
            <a:effectLst/>
          </c:spPr>
          <c:invertIfNegative val="0"/>
          <c:val>
            <c:numRef>
              <c:f>Perceel_2!$D$35:$J$35</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3062-4FFB-9653-FA97BC4FC12C}"/>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2de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Perceel_2!$G$77:$M$77</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8731-49B2-A121-EBD08B8DB2B8}"/>
            </c:ext>
          </c:extLst>
        </c:ser>
        <c:ser>
          <c:idx val="1"/>
          <c:order val="1"/>
          <c:tx>
            <c:v>Advies</c:v>
          </c:tx>
          <c:spPr>
            <a:solidFill>
              <a:srgbClr val="8ED973"/>
            </a:solidFill>
            <a:ln>
              <a:noFill/>
            </a:ln>
            <a:effectLst/>
          </c:spPr>
          <c:invertIfNegative val="0"/>
          <c:val>
            <c:numRef>
              <c:f>Perceel_2!$D$36:$J$36</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8731-49B2-A121-EBD08B8DB2B8}"/>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3de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Perceel_2!$G$85:$M$85</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E8B7-45DA-88BB-075DA760DBF6}"/>
            </c:ext>
          </c:extLst>
        </c:ser>
        <c:ser>
          <c:idx val="1"/>
          <c:order val="1"/>
          <c:tx>
            <c:v>Advies</c:v>
          </c:tx>
          <c:spPr>
            <a:solidFill>
              <a:srgbClr val="8ED973"/>
            </a:solidFill>
            <a:ln>
              <a:noFill/>
            </a:ln>
            <a:effectLst/>
          </c:spPr>
          <c:invertIfNegative val="0"/>
          <c:val>
            <c:numRef>
              <c:f>Perceel_2!$D$37:$J$37</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E8B7-45DA-88BB-075DA760DBF6}"/>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4de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Perceel_2!$G$93:$M$93</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9D65-4CA0-AFD5-604730B5221C}"/>
            </c:ext>
          </c:extLst>
        </c:ser>
        <c:ser>
          <c:idx val="1"/>
          <c:order val="1"/>
          <c:tx>
            <c:v>Advies</c:v>
          </c:tx>
          <c:spPr>
            <a:solidFill>
              <a:srgbClr val="8ED973"/>
            </a:solidFill>
            <a:ln>
              <a:noFill/>
            </a:ln>
            <a:effectLst/>
          </c:spPr>
          <c:invertIfNegative val="0"/>
          <c:val>
            <c:numRef>
              <c:f>Perceel_2!$D$38:$J$38</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9D65-4CA0-AFD5-604730B5221C}"/>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5de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Perceel_2!$G$101:$M$101</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6339-4630-AF4C-F83489795AAF}"/>
            </c:ext>
          </c:extLst>
        </c:ser>
        <c:ser>
          <c:idx val="1"/>
          <c:order val="1"/>
          <c:tx>
            <c:v>Advies</c:v>
          </c:tx>
          <c:spPr>
            <a:solidFill>
              <a:srgbClr val="8ED973"/>
            </a:solidFill>
            <a:ln>
              <a:noFill/>
            </a:ln>
            <a:effectLst/>
          </c:spPr>
          <c:invertIfNegative val="0"/>
          <c:val>
            <c:numRef>
              <c:f>Perceel_2!$D$39:$J$39</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6339-4630-AF4C-F83489795AAF}"/>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6de snede</a:t>
            </a:r>
          </a:p>
        </c:rich>
      </c:tx>
      <c:layout>
        <c:manualLayout>
          <c:xMode val="edge"/>
          <c:yMode val="edge"/>
          <c:x val="0.43161230842160675"/>
          <c:y val="2.3952095808383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Perceel_2!$G$109:$M$109</c:f>
              <c:numCache>
                <c:formatCode>General</c:formatCode>
                <c:ptCount val="7"/>
                <c:pt idx="0" formatCode="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4E9D-4F76-B759-CF58E2E797CC}"/>
            </c:ext>
          </c:extLst>
        </c:ser>
        <c:ser>
          <c:idx val="1"/>
          <c:order val="1"/>
          <c:tx>
            <c:v>Advies</c:v>
          </c:tx>
          <c:spPr>
            <a:solidFill>
              <a:srgbClr val="8ED973"/>
            </a:solidFill>
            <a:ln>
              <a:noFill/>
            </a:ln>
            <a:effectLst/>
          </c:spPr>
          <c:invertIfNegative val="0"/>
          <c:val>
            <c:numRef>
              <c:f>Perceel_2!$D$40:$J$40</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4E9D-4F76-B759-CF58E2E797CC}"/>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Kostprijs bemesting (EUR/ha)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stacked"/>
        <c:varyColors val="0"/>
        <c:ser>
          <c:idx val="7"/>
          <c:order val="6"/>
          <c:tx>
            <c:strRef>
              <c:f>Perceel_2!$AF$62</c:f>
              <c:strCache>
                <c:ptCount val="1"/>
              </c:strCache>
            </c:strRef>
          </c:tx>
          <c:spPr>
            <a:solidFill>
              <a:schemeClr val="accent2">
                <a:lumMod val="60000"/>
              </a:schemeClr>
            </a:solidFill>
            <a:ln>
              <a:noFill/>
            </a:ln>
            <a:effectLst/>
          </c:spPr>
          <c:invertIfNegative val="0"/>
          <c:val>
            <c:numRef>
              <c:f>Perceel_2!$AF$109</c:f>
              <c:numCache>
                <c:formatCode>General</c:formatCode>
                <c:ptCount val="1"/>
                <c:pt idx="0">
                  <c:v>0</c:v>
                </c:pt>
              </c:numCache>
            </c:numRef>
          </c:val>
          <c:extLst>
            <c:ext xmlns:c16="http://schemas.microsoft.com/office/drawing/2014/chart" uri="{C3380CC4-5D6E-409C-BE32-E72D297353CC}">
              <c16:uniqueId val="{00000000-337C-4483-B807-1DDFB71F908B}"/>
            </c:ext>
          </c:extLst>
        </c:ser>
        <c:ser>
          <c:idx val="6"/>
          <c:order val="7"/>
          <c:tx>
            <c:strRef>
              <c:f>Perceel_2!$AE$62</c:f>
              <c:strCache>
                <c:ptCount val="1"/>
              </c:strCache>
            </c:strRef>
          </c:tx>
          <c:spPr>
            <a:solidFill>
              <a:schemeClr val="accent1">
                <a:lumMod val="60000"/>
              </a:schemeClr>
            </a:solidFill>
            <a:ln>
              <a:noFill/>
            </a:ln>
            <a:effectLst/>
          </c:spPr>
          <c:invertIfNegative val="0"/>
          <c:val>
            <c:numRef>
              <c:f>Perceel_2!$AE$109</c:f>
              <c:numCache>
                <c:formatCode>General</c:formatCode>
                <c:ptCount val="1"/>
                <c:pt idx="0">
                  <c:v>0</c:v>
                </c:pt>
              </c:numCache>
            </c:numRef>
          </c:val>
          <c:extLst>
            <c:ext xmlns:c16="http://schemas.microsoft.com/office/drawing/2014/chart" uri="{C3380CC4-5D6E-409C-BE32-E72D297353CC}">
              <c16:uniqueId val="{00000001-337C-4483-B807-1DDFB71F908B}"/>
            </c:ext>
          </c:extLst>
        </c:ser>
        <c:ser>
          <c:idx val="5"/>
          <c:order val="8"/>
          <c:tx>
            <c:strRef>
              <c:f>Perceel_2!$AD$62</c:f>
              <c:strCache>
                <c:ptCount val="1"/>
              </c:strCache>
            </c:strRef>
          </c:tx>
          <c:spPr>
            <a:solidFill>
              <a:schemeClr val="accent6"/>
            </a:solidFill>
            <a:ln>
              <a:noFill/>
            </a:ln>
            <a:effectLst/>
          </c:spPr>
          <c:invertIfNegative val="0"/>
          <c:val>
            <c:numRef>
              <c:f>Perceel_2!$AD$109</c:f>
              <c:numCache>
                <c:formatCode>General</c:formatCode>
                <c:ptCount val="1"/>
                <c:pt idx="0">
                  <c:v>0</c:v>
                </c:pt>
              </c:numCache>
            </c:numRef>
          </c:val>
          <c:extLst>
            <c:ext xmlns:c16="http://schemas.microsoft.com/office/drawing/2014/chart" uri="{C3380CC4-5D6E-409C-BE32-E72D297353CC}">
              <c16:uniqueId val="{00000002-337C-4483-B807-1DDFB71F908B}"/>
            </c:ext>
          </c:extLst>
        </c:ser>
        <c:ser>
          <c:idx val="4"/>
          <c:order val="9"/>
          <c:tx>
            <c:strRef>
              <c:f>Perceel_2!$AC$62</c:f>
              <c:strCache>
                <c:ptCount val="1"/>
              </c:strCache>
            </c:strRef>
          </c:tx>
          <c:spPr>
            <a:solidFill>
              <a:schemeClr val="accent5"/>
            </a:solidFill>
            <a:ln>
              <a:noFill/>
            </a:ln>
            <a:effectLst/>
          </c:spPr>
          <c:invertIfNegative val="0"/>
          <c:val>
            <c:numRef>
              <c:f>Perceel_2!$AC$109</c:f>
              <c:numCache>
                <c:formatCode>General</c:formatCode>
                <c:ptCount val="1"/>
                <c:pt idx="0">
                  <c:v>0</c:v>
                </c:pt>
              </c:numCache>
            </c:numRef>
          </c:val>
          <c:extLst>
            <c:ext xmlns:c16="http://schemas.microsoft.com/office/drawing/2014/chart" uri="{C3380CC4-5D6E-409C-BE32-E72D297353CC}">
              <c16:uniqueId val="{00000003-337C-4483-B807-1DDFB71F908B}"/>
            </c:ext>
          </c:extLst>
        </c:ser>
        <c:ser>
          <c:idx val="3"/>
          <c:order val="10"/>
          <c:tx>
            <c:strRef>
              <c:f>Perceel_2!$AB$62</c:f>
              <c:strCache>
                <c:ptCount val="1"/>
              </c:strCache>
            </c:strRef>
          </c:tx>
          <c:spPr>
            <a:solidFill>
              <a:schemeClr val="accent4"/>
            </a:solidFill>
            <a:ln>
              <a:noFill/>
            </a:ln>
            <a:effectLst/>
          </c:spPr>
          <c:invertIfNegative val="0"/>
          <c:val>
            <c:numRef>
              <c:f>Perceel_2!$AB$109</c:f>
              <c:numCache>
                <c:formatCode>General</c:formatCode>
                <c:ptCount val="1"/>
                <c:pt idx="0">
                  <c:v>0</c:v>
                </c:pt>
              </c:numCache>
            </c:numRef>
          </c:val>
          <c:extLst>
            <c:ext xmlns:c16="http://schemas.microsoft.com/office/drawing/2014/chart" uri="{C3380CC4-5D6E-409C-BE32-E72D297353CC}">
              <c16:uniqueId val="{00000004-337C-4483-B807-1DDFB71F908B}"/>
            </c:ext>
          </c:extLst>
        </c:ser>
        <c:ser>
          <c:idx val="2"/>
          <c:order val="11"/>
          <c:tx>
            <c:strRef>
              <c:f>Perceel_2!$AA$62</c:f>
              <c:strCache>
                <c:ptCount val="1"/>
              </c:strCache>
            </c:strRef>
          </c:tx>
          <c:spPr>
            <a:solidFill>
              <a:schemeClr val="accent3"/>
            </a:solidFill>
            <a:ln>
              <a:noFill/>
            </a:ln>
            <a:effectLst/>
          </c:spPr>
          <c:invertIfNegative val="0"/>
          <c:val>
            <c:numRef>
              <c:f>Perceel_2!$AA$109</c:f>
              <c:numCache>
                <c:formatCode>General</c:formatCode>
                <c:ptCount val="1"/>
                <c:pt idx="0">
                  <c:v>0</c:v>
                </c:pt>
              </c:numCache>
            </c:numRef>
          </c:val>
          <c:extLst>
            <c:ext xmlns:c16="http://schemas.microsoft.com/office/drawing/2014/chart" uri="{C3380CC4-5D6E-409C-BE32-E72D297353CC}">
              <c16:uniqueId val="{00000005-337C-4483-B807-1DDFB71F908B}"/>
            </c:ext>
          </c:extLst>
        </c:ser>
        <c:ser>
          <c:idx val="1"/>
          <c:order val="12"/>
          <c:tx>
            <c:strRef>
              <c:f>Perceel_2!$Z$62</c:f>
              <c:strCache>
                <c:ptCount val="1"/>
              </c:strCache>
            </c:strRef>
          </c:tx>
          <c:spPr>
            <a:solidFill>
              <a:schemeClr val="accent2"/>
            </a:solidFill>
            <a:ln>
              <a:noFill/>
            </a:ln>
            <a:effectLst/>
          </c:spPr>
          <c:invertIfNegative val="0"/>
          <c:val>
            <c:numRef>
              <c:f>Perceel_2!$Z$109</c:f>
              <c:numCache>
                <c:formatCode>General</c:formatCode>
                <c:ptCount val="1"/>
                <c:pt idx="0">
                  <c:v>0</c:v>
                </c:pt>
              </c:numCache>
            </c:numRef>
          </c:val>
          <c:extLst>
            <c:ext xmlns:c16="http://schemas.microsoft.com/office/drawing/2014/chart" uri="{C3380CC4-5D6E-409C-BE32-E72D297353CC}">
              <c16:uniqueId val="{00000006-337C-4483-B807-1DDFB71F908B}"/>
            </c:ext>
          </c:extLst>
        </c:ser>
        <c:ser>
          <c:idx val="0"/>
          <c:order val="13"/>
          <c:tx>
            <c:strRef>
              <c:f>Perceel_2!$Y$62</c:f>
              <c:strCache>
                <c:ptCount val="1"/>
              </c:strCache>
            </c:strRef>
          </c:tx>
          <c:spPr>
            <a:solidFill>
              <a:schemeClr val="accent1"/>
            </a:solidFill>
            <a:ln>
              <a:noFill/>
            </a:ln>
            <a:effectLst/>
          </c:spPr>
          <c:invertIfNegative val="0"/>
          <c:val>
            <c:numRef>
              <c:f>Perceel_2!$Y$109</c:f>
              <c:numCache>
                <c:formatCode>General</c:formatCode>
                <c:ptCount val="1"/>
                <c:pt idx="0">
                  <c:v>0</c:v>
                </c:pt>
              </c:numCache>
            </c:numRef>
          </c:val>
          <c:extLst>
            <c:ext xmlns:c16="http://schemas.microsoft.com/office/drawing/2014/chart" uri="{C3380CC4-5D6E-409C-BE32-E72D297353CC}">
              <c16:uniqueId val="{00000007-337C-4483-B807-1DDFB71F908B}"/>
            </c:ext>
          </c:extLst>
        </c:ser>
        <c:dLbls>
          <c:showLegendKey val="0"/>
          <c:showVal val="0"/>
          <c:showCatName val="0"/>
          <c:showSerName val="0"/>
          <c:showPercent val="0"/>
          <c:showBubbleSize val="0"/>
        </c:dLbls>
        <c:gapWidth val="150"/>
        <c:overlap val="100"/>
        <c:axId val="777525200"/>
        <c:axId val="777518000"/>
        <c:extLst>
          <c:ext xmlns:c15="http://schemas.microsoft.com/office/drawing/2012/chart" uri="{02D57815-91ED-43cb-92C2-25804820EDAC}">
            <c15:filteredBarSeries>
              <c15:ser>
                <c:idx val="13"/>
                <c:order val="0"/>
                <c:tx>
                  <c:strRef>
                    <c:extLst>
                      <c:ext uri="{02D57815-91ED-43cb-92C2-25804820EDAC}">
                        <c15:formulaRef>
                          <c15:sqref>Perceel_2!$AL$62</c15:sqref>
                        </c15:formulaRef>
                      </c:ext>
                    </c:extLst>
                    <c:strCache>
                      <c:ptCount val="1"/>
                    </c:strCache>
                  </c:strRef>
                </c:tx>
                <c:spPr>
                  <a:solidFill>
                    <a:schemeClr val="accent2">
                      <a:lumMod val="80000"/>
                      <a:lumOff val="20000"/>
                    </a:schemeClr>
                  </a:solidFill>
                  <a:ln>
                    <a:noFill/>
                  </a:ln>
                  <a:effectLst/>
                </c:spPr>
                <c:invertIfNegative val="0"/>
                <c:val>
                  <c:numRef>
                    <c:extLst>
                      <c:ext uri="{02D57815-91ED-43cb-92C2-25804820EDAC}">
                        <c15:formulaRef>
                          <c15:sqref>Perceel_2!$AL$109</c15:sqref>
                        </c15:formulaRef>
                      </c:ext>
                    </c:extLst>
                    <c:numCache>
                      <c:formatCode>General</c:formatCode>
                      <c:ptCount val="1"/>
                      <c:pt idx="0">
                        <c:v>0</c:v>
                      </c:pt>
                    </c:numCache>
                  </c:numRef>
                </c:val>
                <c:extLst>
                  <c:ext xmlns:c16="http://schemas.microsoft.com/office/drawing/2014/chart" uri="{C3380CC4-5D6E-409C-BE32-E72D297353CC}">
                    <c16:uniqueId val="{00000008-337C-4483-B807-1DDFB71F908B}"/>
                  </c:ext>
                </c:extLst>
              </c15:ser>
            </c15:filteredBarSeries>
            <c15:filteredBarSeries>
              <c15:ser>
                <c:idx val="12"/>
                <c:order val="1"/>
                <c:tx>
                  <c:strRef>
                    <c:extLst xmlns:c15="http://schemas.microsoft.com/office/drawing/2012/chart">
                      <c:ext xmlns:c15="http://schemas.microsoft.com/office/drawing/2012/chart" uri="{02D57815-91ED-43cb-92C2-25804820EDAC}">
                        <c15:formulaRef>
                          <c15:sqref>Perceel_2!$AK$62</c15:sqref>
                        </c15:formulaRef>
                      </c:ext>
                    </c:extLst>
                    <c:strCache>
                      <c:ptCount val="1"/>
                    </c:strCache>
                  </c:strRef>
                </c:tx>
                <c:spPr>
                  <a:solidFill>
                    <a:schemeClr val="accent1">
                      <a:lumMod val="80000"/>
                      <a:lumOff val="2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Perceel_2!$AK$109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9-337C-4483-B807-1DDFB71F908B}"/>
                  </c:ext>
                </c:extLst>
              </c15:ser>
            </c15:filteredBarSeries>
            <c15:filteredBarSeries>
              <c15:ser>
                <c:idx val="11"/>
                <c:order val="2"/>
                <c:tx>
                  <c:strRef>
                    <c:extLst xmlns:c15="http://schemas.microsoft.com/office/drawing/2012/chart">
                      <c:ext xmlns:c15="http://schemas.microsoft.com/office/drawing/2012/chart" uri="{02D57815-91ED-43cb-92C2-25804820EDAC}">
                        <c15:formulaRef>
                          <c15:sqref>Perceel_2!$AJ$62</c15:sqref>
                        </c15:formulaRef>
                      </c:ext>
                    </c:extLst>
                    <c:strCache>
                      <c:ptCount val="1"/>
                    </c:strCache>
                  </c:strRef>
                </c:tx>
                <c:spPr>
                  <a:solidFill>
                    <a:schemeClr val="accent6">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Perceel_2!$AJ$109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A-337C-4483-B807-1DDFB71F908B}"/>
                  </c:ext>
                </c:extLst>
              </c15:ser>
            </c15:filteredBarSeries>
            <c15:filteredBarSeries>
              <c15:ser>
                <c:idx val="10"/>
                <c:order val="3"/>
                <c:tx>
                  <c:strRef>
                    <c:extLst xmlns:c15="http://schemas.microsoft.com/office/drawing/2012/chart">
                      <c:ext xmlns:c15="http://schemas.microsoft.com/office/drawing/2012/chart" uri="{02D57815-91ED-43cb-92C2-25804820EDAC}">
                        <c15:formulaRef>
                          <c15:sqref>Perceel_2!$AI$62</c15:sqref>
                        </c15:formulaRef>
                      </c:ext>
                    </c:extLst>
                    <c:strCache>
                      <c:ptCount val="1"/>
                    </c:strCache>
                  </c:strRef>
                </c:tx>
                <c:spPr>
                  <a:solidFill>
                    <a:schemeClr val="accent5">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Perceel_2!$AI$109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B-337C-4483-B807-1DDFB71F908B}"/>
                  </c:ext>
                </c:extLst>
              </c15:ser>
            </c15:filteredBarSeries>
            <c15:filteredBarSeries>
              <c15:ser>
                <c:idx val="9"/>
                <c:order val="4"/>
                <c:tx>
                  <c:strRef>
                    <c:extLst xmlns:c15="http://schemas.microsoft.com/office/drawing/2012/chart">
                      <c:ext xmlns:c15="http://schemas.microsoft.com/office/drawing/2012/chart" uri="{02D57815-91ED-43cb-92C2-25804820EDAC}">
                        <c15:formulaRef>
                          <c15:sqref>Perceel_2!$AH$62</c15:sqref>
                        </c15:formulaRef>
                      </c:ext>
                    </c:extLst>
                    <c:strCache>
                      <c:ptCount val="1"/>
                    </c:strCache>
                  </c:strRef>
                </c:tx>
                <c:spPr>
                  <a:solidFill>
                    <a:schemeClr val="accent4">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Perceel_2!$AH$109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C-337C-4483-B807-1DDFB71F908B}"/>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Perceel_2!$AG$62</c15:sqref>
                        </c15:formulaRef>
                      </c:ext>
                    </c:extLst>
                    <c:strCache>
                      <c:ptCount val="1"/>
                    </c:strCache>
                  </c:strRef>
                </c:tx>
                <c:spPr>
                  <a:solidFill>
                    <a:schemeClr val="accent3">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Perceel_2!$AG$109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D-337C-4483-B807-1DDFB71F908B}"/>
                  </c:ext>
                </c:extLst>
              </c15:ser>
            </c15:filteredBarSeries>
          </c:ext>
        </c:extLst>
      </c:barChart>
      <c:catAx>
        <c:axId val="777525200"/>
        <c:scaling>
          <c:orientation val="minMax"/>
        </c:scaling>
        <c:delete val="1"/>
        <c:axPos val="b"/>
        <c:numFmt formatCode="General" sourceLinked="1"/>
        <c:majorTickMark val="none"/>
        <c:minorTickMark val="none"/>
        <c:tickLblPos val="nextTo"/>
        <c:crossAx val="777518000"/>
        <c:crosses val="autoZero"/>
        <c:auto val="1"/>
        <c:lblAlgn val="ctr"/>
        <c:lblOffset val="100"/>
        <c:noMultiLvlLbl val="0"/>
      </c:catAx>
      <c:valAx>
        <c:axId val="7775180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775252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Totaal bemest (kg/ha)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radarChart>
        <c:radarStyle val="marker"/>
        <c:varyColors val="0"/>
        <c:ser>
          <c:idx val="0"/>
          <c:order val="0"/>
          <c:tx>
            <c:v>Totaal bemest</c:v>
          </c:tx>
          <c:spPr>
            <a:ln w="28575" cap="rnd">
              <a:solidFill>
                <a:schemeClr val="accent1"/>
              </a:solidFill>
              <a:round/>
            </a:ln>
            <a:effectLst/>
          </c:spPr>
          <c:marker>
            <c:symbol val="none"/>
          </c:marker>
          <c:cat>
            <c:strRef>
              <c:f>Perceel_3!$G$110:$M$110</c:f>
              <c:strCache>
                <c:ptCount val="7"/>
                <c:pt idx="0">
                  <c:v>Nwz</c:v>
                </c:pt>
                <c:pt idx="1">
                  <c:v>P2O5 </c:v>
                </c:pt>
                <c:pt idx="2">
                  <c:v>K2O </c:v>
                </c:pt>
                <c:pt idx="3">
                  <c:v>MgO</c:v>
                </c:pt>
                <c:pt idx="4">
                  <c:v>CaO</c:v>
                </c:pt>
                <c:pt idx="5">
                  <c:v>Na2O</c:v>
                </c:pt>
                <c:pt idx="6">
                  <c:v>SO3 </c:v>
                </c:pt>
              </c:strCache>
            </c:strRef>
          </c:cat>
          <c:val>
            <c:numRef>
              <c:f>Perceel_3!$G$111:$M$111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9150-4AF6-B080-973DD6BB27CB}"/>
            </c:ext>
          </c:extLst>
        </c:ser>
        <c:ser>
          <c:idx val="1"/>
          <c:order val="1"/>
          <c:tx>
            <c:v>Advies</c:v>
          </c:tx>
          <c:spPr>
            <a:ln w="28575" cap="rnd">
              <a:solidFill>
                <a:srgbClr val="8ED973"/>
              </a:solidFill>
              <a:round/>
            </a:ln>
            <a:effectLst/>
          </c:spPr>
          <c:marker>
            <c:symbol val="none"/>
          </c:marker>
          <c:cat>
            <c:strRef>
              <c:f>Perceel_3!$G$110:$M$110</c:f>
              <c:strCache>
                <c:ptCount val="7"/>
                <c:pt idx="0">
                  <c:v>Nwz</c:v>
                </c:pt>
                <c:pt idx="1">
                  <c:v>P2O5 </c:v>
                </c:pt>
                <c:pt idx="2">
                  <c:v>K2O </c:v>
                </c:pt>
                <c:pt idx="3">
                  <c:v>MgO</c:v>
                </c:pt>
                <c:pt idx="4">
                  <c:v>CaO</c:v>
                </c:pt>
                <c:pt idx="5">
                  <c:v>Na2O</c:v>
                </c:pt>
                <c:pt idx="6">
                  <c:v>SO3 </c:v>
                </c:pt>
              </c:strCache>
            </c:strRef>
          </c:cat>
          <c:val>
            <c:numRef>
              <c:f>Perceel_3!$G$117:$M$117</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9150-4AF6-B080-973DD6BB27CB}"/>
            </c:ext>
          </c:extLst>
        </c:ser>
        <c:dLbls>
          <c:showLegendKey val="0"/>
          <c:showVal val="0"/>
          <c:showCatName val="0"/>
          <c:showSerName val="0"/>
          <c:showPercent val="0"/>
          <c:showBubbleSize val="0"/>
        </c:dLbls>
        <c:axId val="1485906560"/>
        <c:axId val="1485903200"/>
      </c:radarChart>
      <c:catAx>
        <c:axId val="1485906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nl-BE"/>
          </a:p>
        </c:txPr>
        <c:crossAx val="1485903200"/>
        <c:crosses val="autoZero"/>
        <c:auto val="1"/>
        <c:lblAlgn val="ctr"/>
        <c:lblOffset val="100"/>
        <c:noMultiLvlLbl val="0"/>
      </c:catAx>
      <c:valAx>
        <c:axId val="1485903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4859065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Percentage bemest t.o.v.</a:t>
            </a:r>
            <a:r>
              <a:rPr lang="nl-BE" baseline="0"/>
              <a:t> advies</a:t>
            </a:r>
            <a:endParaRPr lang="nl-B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radarChart>
        <c:radarStyle val="marker"/>
        <c:varyColors val="0"/>
        <c:ser>
          <c:idx val="0"/>
          <c:order val="0"/>
          <c:tx>
            <c:v>Totaal bemest</c:v>
          </c:tx>
          <c:spPr>
            <a:ln w="28575" cap="rnd">
              <a:solidFill>
                <a:schemeClr val="accent1"/>
              </a:solidFill>
              <a:round/>
            </a:ln>
            <a:effectLst/>
          </c:spPr>
          <c:marker>
            <c:symbol val="none"/>
          </c:marker>
          <c:cat>
            <c:strRef>
              <c:f>Perceel_3!$G$110:$M$110</c:f>
              <c:strCache>
                <c:ptCount val="7"/>
                <c:pt idx="0">
                  <c:v>Nwz</c:v>
                </c:pt>
                <c:pt idx="1">
                  <c:v>P2O5 </c:v>
                </c:pt>
                <c:pt idx="2">
                  <c:v>K2O </c:v>
                </c:pt>
                <c:pt idx="3">
                  <c:v>MgO</c:v>
                </c:pt>
                <c:pt idx="4">
                  <c:v>CaO</c:v>
                </c:pt>
                <c:pt idx="5">
                  <c:v>Na2O</c:v>
                </c:pt>
                <c:pt idx="6">
                  <c:v>SO3 </c:v>
                </c:pt>
              </c:strCache>
            </c:strRef>
          </c:cat>
          <c:val>
            <c:numRef>
              <c:f>Perceel_3!$G$118:$M$118</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702C-4A35-8500-C52B2D77431C}"/>
            </c:ext>
          </c:extLst>
        </c:ser>
        <c:ser>
          <c:idx val="1"/>
          <c:order val="1"/>
          <c:tx>
            <c:v>Advies</c:v>
          </c:tx>
          <c:spPr>
            <a:ln w="28575" cap="rnd">
              <a:solidFill>
                <a:schemeClr val="accent2"/>
              </a:solidFill>
              <a:round/>
            </a:ln>
            <a:effectLst/>
          </c:spPr>
          <c:marker>
            <c:symbol val="none"/>
          </c:marker>
          <c:cat>
            <c:strRef>
              <c:f>Perceel_1!$G$110:$M$110</c:f>
              <c:strCache>
                <c:ptCount val="7"/>
                <c:pt idx="0">
                  <c:v>Nwz</c:v>
                </c:pt>
                <c:pt idx="1">
                  <c:v>P2O5 </c:v>
                </c:pt>
                <c:pt idx="2">
                  <c:v>K2O </c:v>
                </c:pt>
                <c:pt idx="3">
                  <c:v>MgO</c:v>
                </c:pt>
                <c:pt idx="4">
                  <c:v>CaO</c:v>
                </c:pt>
                <c:pt idx="5">
                  <c:v>Na2O</c:v>
                </c:pt>
                <c:pt idx="6">
                  <c:v>SO3 </c:v>
                </c:pt>
              </c:strCache>
            </c:strRef>
          </c:cat>
          <c:val>
            <c:numRef>
              <c:f>Perceel_1!$G$119:$M$119</c:f>
            </c:numRef>
          </c:val>
          <c:extLst>
            <c:ext xmlns:c16="http://schemas.microsoft.com/office/drawing/2014/chart" uri="{C3380CC4-5D6E-409C-BE32-E72D297353CC}">
              <c16:uniqueId val="{00000001-702C-4A35-8500-C52B2D77431C}"/>
            </c:ext>
          </c:extLst>
        </c:ser>
        <c:ser>
          <c:idx val="2"/>
          <c:order val="2"/>
          <c:tx>
            <c:v>Advies</c:v>
          </c:tx>
          <c:spPr>
            <a:ln w="28575" cap="rnd">
              <a:solidFill>
                <a:srgbClr val="8ED973"/>
              </a:solidFill>
              <a:round/>
            </a:ln>
            <a:effectLst/>
          </c:spPr>
          <c:marker>
            <c:symbol val="none"/>
          </c:marker>
          <c:val>
            <c:numRef>
              <c:f>Perceel_3!$G$120:$M$120</c:f>
              <c:numCache>
                <c:formatCode>0</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2-702C-4A35-8500-C52B2D77431C}"/>
            </c:ext>
          </c:extLst>
        </c:ser>
        <c:dLbls>
          <c:showLegendKey val="0"/>
          <c:showVal val="0"/>
          <c:showCatName val="0"/>
          <c:showSerName val="0"/>
          <c:showPercent val="0"/>
          <c:showBubbleSize val="0"/>
        </c:dLbls>
        <c:axId val="933104944"/>
        <c:axId val="933105424"/>
      </c:radarChart>
      <c:catAx>
        <c:axId val="933104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nl-BE"/>
          </a:p>
        </c:txPr>
        <c:crossAx val="933105424"/>
        <c:crosses val="autoZero"/>
        <c:auto val="1"/>
        <c:lblAlgn val="ctr"/>
        <c:lblOffset val="100"/>
        <c:noMultiLvlLbl val="0"/>
      </c:catAx>
      <c:valAx>
        <c:axId val="933105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9331049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Bemesting % per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1"/>
          <c:order val="1"/>
          <c:tx>
            <c:strRef>
              <c:f>Perceel_3!$G$110</c:f>
              <c:strCache>
                <c:ptCount val="1"/>
                <c:pt idx="0">
                  <c:v>Nwz</c:v>
                </c:pt>
              </c:strCache>
            </c:strRef>
          </c:tx>
          <c:spPr>
            <a:solidFill>
              <a:srgbClr val="00B050"/>
            </a:solidFill>
            <a:ln>
              <a:noFill/>
            </a:ln>
            <a:effectLst/>
          </c:spPr>
          <c:invertIfNegative val="0"/>
          <c:cat>
            <c:strRef>
              <c:f>Perceel_3!$E$126:$E$131</c:f>
              <c:strCache>
                <c:ptCount val="6"/>
                <c:pt idx="0">
                  <c:v>Voor 1ste snede</c:v>
                </c:pt>
                <c:pt idx="1">
                  <c:v>Voor 2de snede</c:v>
                </c:pt>
                <c:pt idx="2">
                  <c:v>Voor 3de snede</c:v>
                </c:pt>
                <c:pt idx="3">
                  <c:v>Voor 4de snede</c:v>
                </c:pt>
                <c:pt idx="4">
                  <c:v>Voor 5de snede</c:v>
                </c:pt>
                <c:pt idx="5">
                  <c:v>Voor 6de snede</c:v>
                </c:pt>
              </c:strCache>
            </c:strRef>
          </c:cat>
          <c:val>
            <c:numRef>
              <c:f>Perceel_3!$G$126:$G$131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6C0A-492F-AF9C-259FF84E8FBD}"/>
            </c:ext>
          </c:extLst>
        </c:ser>
        <c:ser>
          <c:idx val="2"/>
          <c:order val="2"/>
          <c:tx>
            <c:strRef>
              <c:f>Perceel_3!$H$110</c:f>
              <c:strCache>
                <c:ptCount val="1"/>
                <c:pt idx="0">
                  <c:v>P2O5 </c:v>
                </c:pt>
              </c:strCache>
            </c:strRef>
          </c:tx>
          <c:spPr>
            <a:solidFill>
              <a:schemeClr val="accent5"/>
            </a:solidFill>
            <a:ln>
              <a:noFill/>
            </a:ln>
            <a:effectLst/>
          </c:spPr>
          <c:invertIfNegative val="0"/>
          <c:val>
            <c:numRef>
              <c:f>Perceel_3!$H$126:$H$131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6C0A-492F-AF9C-259FF84E8FBD}"/>
            </c:ext>
          </c:extLst>
        </c:ser>
        <c:ser>
          <c:idx val="3"/>
          <c:order val="3"/>
          <c:tx>
            <c:strRef>
              <c:f>Perceel_3!$I$110</c:f>
              <c:strCache>
                <c:ptCount val="1"/>
                <c:pt idx="0">
                  <c:v>K2O </c:v>
                </c:pt>
              </c:strCache>
            </c:strRef>
          </c:tx>
          <c:spPr>
            <a:solidFill>
              <a:schemeClr val="accent4"/>
            </a:solidFill>
            <a:ln>
              <a:noFill/>
            </a:ln>
            <a:effectLst/>
          </c:spPr>
          <c:invertIfNegative val="0"/>
          <c:val>
            <c:numRef>
              <c:f>Perceel_3!$I$126:$I$131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6C0A-492F-AF9C-259FF84E8FBD}"/>
            </c:ext>
          </c:extLst>
        </c:ser>
        <c:ser>
          <c:idx val="4"/>
          <c:order val="4"/>
          <c:tx>
            <c:strRef>
              <c:f>Perceel_3!$J$110</c:f>
              <c:strCache>
                <c:ptCount val="1"/>
                <c:pt idx="0">
                  <c:v>MgO</c:v>
                </c:pt>
              </c:strCache>
            </c:strRef>
          </c:tx>
          <c:spPr>
            <a:solidFill>
              <a:srgbClr val="FFFF00"/>
            </a:solidFill>
            <a:ln>
              <a:noFill/>
            </a:ln>
            <a:effectLst/>
          </c:spPr>
          <c:invertIfNegative val="0"/>
          <c:val>
            <c:numRef>
              <c:f>Perceel_3!$J$126:$J$131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6C0A-492F-AF9C-259FF84E8FBD}"/>
            </c:ext>
          </c:extLst>
        </c:ser>
        <c:ser>
          <c:idx val="5"/>
          <c:order val="5"/>
          <c:tx>
            <c:strRef>
              <c:f>Perceel_3!$K$110</c:f>
              <c:strCache>
                <c:ptCount val="1"/>
                <c:pt idx="0">
                  <c:v>CaO</c:v>
                </c:pt>
              </c:strCache>
            </c:strRef>
          </c:tx>
          <c:spPr>
            <a:solidFill>
              <a:srgbClr val="FFFFCC"/>
            </a:solidFill>
            <a:ln>
              <a:noFill/>
            </a:ln>
            <a:effectLst/>
          </c:spPr>
          <c:invertIfNegative val="0"/>
          <c:val>
            <c:numRef>
              <c:f>Perceel_3!$K$126:$K$131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6C0A-492F-AF9C-259FF84E8FBD}"/>
            </c:ext>
          </c:extLst>
        </c:ser>
        <c:ser>
          <c:idx val="6"/>
          <c:order val="6"/>
          <c:tx>
            <c:strRef>
              <c:f>Perceel_3!$L$110</c:f>
              <c:strCache>
                <c:ptCount val="1"/>
                <c:pt idx="0">
                  <c:v>Na2O</c:v>
                </c:pt>
              </c:strCache>
            </c:strRef>
          </c:tx>
          <c:spPr>
            <a:solidFill>
              <a:schemeClr val="accent1">
                <a:lumMod val="60000"/>
              </a:schemeClr>
            </a:solidFill>
            <a:ln>
              <a:noFill/>
            </a:ln>
            <a:effectLst/>
          </c:spPr>
          <c:invertIfNegative val="0"/>
          <c:val>
            <c:numRef>
              <c:f>Perceel_3!$L$126:$L$131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6C0A-492F-AF9C-259FF84E8FBD}"/>
            </c:ext>
          </c:extLst>
        </c:ser>
        <c:ser>
          <c:idx val="7"/>
          <c:order val="7"/>
          <c:tx>
            <c:strRef>
              <c:f>Perceel_3!$M$110</c:f>
              <c:strCache>
                <c:ptCount val="1"/>
                <c:pt idx="0">
                  <c:v>SO3 </c:v>
                </c:pt>
              </c:strCache>
            </c:strRef>
          </c:tx>
          <c:spPr>
            <a:solidFill>
              <a:schemeClr val="accent2">
                <a:lumMod val="60000"/>
              </a:schemeClr>
            </a:solidFill>
            <a:ln>
              <a:noFill/>
            </a:ln>
            <a:effectLst/>
          </c:spPr>
          <c:invertIfNegative val="0"/>
          <c:val>
            <c:numRef>
              <c:f>Perceel_3!$M$126:$M$131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6-6C0A-492F-AF9C-259FF84E8FBD}"/>
            </c:ext>
          </c:extLst>
        </c:ser>
        <c:dLbls>
          <c:showLegendKey val="0"/>
          <c:showVal val="0"/>
          <c:showCatName val="0"/>
          <c:showSerName val="0"/>
          <c:showPercent val="0"/>
          <c:showBubbleSize val="0"/>
        </c:dLbls>
        <c:gapWidth val="219"/>
        <c:overlap val="-27"/>
        <c:axId val="624734144"/>
        <c:axId val="624734624"/>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Perceel_3!$E$126:$E$131</c15:sqref>
                        </c15:formulaRef>
                      </c:ext>
                    </c:extLst>
                    <c:strCache>
                      <c:ptCount val="6"/>
                      <c:pt idx="0">
                        <c:v>Voor 1ste snede</c:v>
                      </c:pt>
                      <c:pt idx="1">
                        <c:v>Voor 2de snede</c:v>
                      </c:pt>
                      <c:pt idx="2">
                        <c:v>Voor 3de snede</c:v>
                      </c:pt>
                      <c:pt idx="3">
                        <c:v>Voor 4de snede</c:v>
                      </c:pt>
                      <c:pt idx="4">
                        <c:v>Voor 5de snede</c:v>
                      </c:pt>
                      <c:pt idx="5">
                        <c:v>Voor 6de snede</c:v>
                      </c:pt>
                    </c:strCache>
                  </c:strRef>
                </c:cat>
                <c:val>
                  <c:numRef>
                    <c:extLst>
                      <c:ext uri="{02D57815-91ED-43cb-92C2-25804820EDAC}">
                        <c15:formulaRef>
                          <c15:sqref>Perceel_3!$F$126:$F$131</c15:sqref>
                        </c15:formulaRef>
                      </c:ext>
                    </c:extLst>
                    <c:numCache>
                      <c:formatCode>General</c:formatCode>
                      <c:ptCount val="6"/>
                    </c:numCache>
                  </c:numRef>
                </c:val>
                <c:extLst>
                  <c:ext xmlns:c16="http://schemas.microsoft.com/office/drawing/2014/chart" uri="{C3380CC4-5D6E-409C-BE32-E72D297353CC}">
                    <c16:uniqueId val="{00000007-6C0A-492F-AF9C-259FF84E8FBD}"/>
                  </c:ext>
                </c:extLst>
              </c15:ser>
            </c15:filteredBarSeries>
          </c:ext>
        </c:extLst>
      </c:barChart>
      <c:catAx>
        <c:axId val="62473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24734624"/>
        <c:crosses val="autoZero"/>
        <c:auto val="1"/>
        <c:lblAlgn val="ctr"/>
        <c:lblOffset val="100"/>
        <c:noMultiLvlLbl val="0"/>
      </c:catAx>
      <c:valAx>
        <c:axId val="6247346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247341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1ste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Perceel_3!$G$69:$M$69</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1E24-46DE-A7C0-7721C7D0E337}"/>
            </c:ext>
          </c:extLst>
        </c:ser>
        <c:ser>
          <c:idx val="1"/>
          <c:order val="1"/>
          <c:tx>
            <c:v>Advies</c:v>
          </c:tx>
          <c:spPr>
            <a:solidFill>
              <a:srgbClr val="8ED973"/>
            </a:solidFill>
            <a:ln>
              <a:noFill/>
            </a:ln>
            <a:effectLst/>
          </c:spPr>
          <c:invertIfNegative val="0"/>
          <c:val>
            <c:numRef>
              <c:f>Perceel_3!$D$35:$J$35</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1E24-46DE-A7C0-7721C7D0E337}"/>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2de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Perceel_3!$G$77:$M$77</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D913-48A9-BD58-70A0DE44188C}"/>
            </c:ext>
          </c:extLst>
        </c:ser>
        <c:ser>
          <c:idx val="1"/>
          <c:order val="1"/>
          <c:tx>
            <c:v>Advies</c:v>
          </c:tx>
          <c:spPr>
            <a:solidFill>
              <a:srgbClr val="8ED973"/>
            </a:solidFill>
            <a:ln>
              <a:noFill/>
            </a:ln>
            <a:effectLst/>
          </c:spPr>
          <c:invertIfNegative val="0"/>
          <c:val>
            <c:numRef>
              <c:f>Perceel_3!$D$36:$J$36</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D913-48A9-BD58-70A0DE44188C}"/>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3de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Perceel_3!$G$85:$M$85</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9AE1-454F-8FA2-42DF9A9070CF}"/>
            </c:ext>
          </c:extLst>
        </c:ser>
        <c:ser>
          <c:idx val="1"/>
          <c:order val="1"/>
          <c:tx>
            <c:v>Advies</c:v>
          </c:tx>
          <c:spPr>
            <a:solidFill>
              <a:srgbClr val="8ED973"/>
            </a:solidFill>
            <a:ln>
              <a:noFill/>
            </a:ln>
            <a:effectLst/>
          </c:spPr>
          <c:invertIfNegative val="0"/>
          <c:val>
            <c:numRef>
              <c:f>Perceel_3!$D$37:$J$37</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9AE1-454F-8FA2-42DF9A9070CF}"/>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4de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Perceel_3!$G$93:$M$93</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88F6-4975-9112-3DD87F4F4EE6}"/>
            </c:ext>
          </c:extLst>
        </c:ser>
        <c:ser>
          <c:idx val="1"/>
          <c:order val="1"/>
          <c:tx>
            <c:v>Advies</c:v>
          </c:tx>
          <c:spPr>
            <a:solidFill>
              <a:srgbClr val="8ED973"/>
            </a:solidFill>
            <a:ln>
              <a:noFill/>
            </a:ln>
            <a:effectLst/>
          </c:spPr>
          <c:invertIfNegative val="0"/>
          <c:val>
            <c:numRef>
              <c:f>Perceel_3!$D$38:$J$38</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88F6-4975-9112-3DD87F4F4EE6}"/>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5de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Perceel_3!$G$101:$M$101</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3109-458F-9599-2E7CB57E963E}"/>
            </c:ext>
          </c:extLst>
        </c:ser>
        <c:ser>
          <c:idx val="1"/>
          <c:order val="1"/>
          <c:tx>
            <c:v>Advies</c:v>
          </c:tx>
          <c:spPr>
            <a:solidFill>
              <a:srgbClr val="8ED973"/>
            </a:solidFill>
            <a:ln>
              <a:noFill/>
            </a:ln>
            <a:effectLst/>
          </c:spPr>
          <c:invertIfNegative val="0"/>
          <c:val>
            <c:numRef>
              <c:f>Perceel_3!$D$39:$J$39</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3109-458F-9599-2E7CB57E963E}"/>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6de snede</a:t>
            </a:r>
          </a:p>
        </c:rich>
      </c:tx>
      <c:layout>
        <c:manualLayout>
          <c:xMode val="edge"/>
          <c:yMode val="edge"/>
          <c:x val="0.43161230842160675"/>
          <c:y val="2.3952095808383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Perceel_3!$G$109:$M$109</c:f>
              <c:numCache>
                <c:formatCode>General</c:formatCode>
                <c:ptCount val="7"/>
                <c:pt idx="0" formatCode="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8B96-4D62-A9BD-621DB5078357}"/>
            </c:ext>
          </c:extLst>
        </c:ser>
        <c:ser>
          <c:idx val="1"/>
          <c:order val="1"/>
          <c:tx>
            <c:v>Advies</c:v>
          </c:tx>
          <c:spPr>
            <a:solidFill>
              <a:srgbClr val="8ED973"/>
            </a:solidFill>
            <a:ln>
              <a:noFill/>
            </a:ln>
            <a:effectLst/>
          </c:spPr>
          <c:invertIfNegative val="0"/>
          <c:val>
            <c:numRef>
              <c:f>Perceel_3!$D$40:$J$40</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8B96-4D62-A9BD-621DB5078357}"/>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Kostprijs bemesting (EUR/ha)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stacked"/>
        <c:varyColors val="0"/>
        <c:ser>
          <c:idx val="7"/>
          <c:order val="6"/>
          <c:tx>
            <c:strRef>
              <c:f>Perceel_3!$AF$62</c:f>
              <c:strCache>
                <c:ptCount val="1"/>
              </c:strCache>
            </c:strRef>
          </c:tx>
          <c:spPr>
            <a:solidFill>
              <a:schemeClr val="accent2">
                <a:lumMod val="60000"/>
              </a:schemeClr>
            </a:solidFill>
            <a:ln>
              <a:noFill/>
            </a:ln>
            <a:effectLst/>
          </c:spPr>
          <c:invertIfNegative val="0"/>
          <c:val>
            <c:numRef>
              <c:f>Perceel_3!$AF$109</c:f>
              <c:numCache>
                <c:formatCode>General</c:formatCode>
                <c:ptCount val="1"/>
                <c:pt idx="0">
                  <c:v>0</c:v>
                </c:pt>
              </c:numCache>
            </c:numRef>
          </c:val>
          <c:extLst>
            <c:ext xmlns:c16="http://schemas.microsoft.com/office/drawing/2014/chart" uri="{C3380CC4-5D6E-409C-BE32-E72D297353CC}">
              <c16:uniqueId val="{00000000-2882-4811-BB32-A5D48A41FBDD}"/>
            </c:ext>
          </c:extLst>
        </c:ser>
        <c:ser>
          <c:idx val="6"/>
          <c:order val="7"/>
          <c:tx>
            <c:strRef>
              <c:f>Perceel_3!$AE$62</c:f>
              <c:strCache>
                <c:ptCount val="1"/>
              </c:strCache>
            </c:strRef>
          </c:tx>
          <c:spPr>
            <a:solidFill>
              <a:schemeClr val="accent1">
                <a:lumMod val="60000"/>
              </a:schemeClr>
            </a:solidFill>
            <a:ln>
              <a:noFill/>
            </a:ln>
            <a:effectLst/>
          </c:spPr>
          <c:invertIfNegative val="0"/>
          <c:val>
            <c:numRef>
              <c:f>Perceel_3!$AE$109</c:f>
              <c:numCache>
                <c:formatCode>General</c:formatCode>
                <c:ptCount val="1"/>
                <c:pt idx="0">
                  <c:v>0</c:v>
                </c:pt>
              </c:numCache>
            </c:numRef>
          </c:val>
          <c:extLst>
            <c:ext xmlns:c16="http://schemas.microsoft.com/office/drawing/2014/chart" uri="{C3380CC4-5D6E-409C-BE32-E72D297353CC}">
              <c16:uniqueId val="{00000001-2882-4811-BB32-A5D48A41FBDD}"/>
            </c:ext>
          </c:extLst>
        </c:ser>
        <c:ser>
          <c:idx val="5"/>
          <c:order val="8"/>
          <c:tx>
            <c:strRef>
              <c:f>Perceel_3!$AD$62</c:f>
              <c:strCache>
                <c:ptCount val="1"/>
              </c:strCache>
            </c:strRef>
          </c:tx>
          <c:spPr>
            <a:solidFill>
              <a:schemeClr val="accent6"/>
            </a:solidFill>
            <a:ln>
              <a:noFill/>
            </a:ln>
            <a:effectLst/>
          </c:spPr>
          <c:invertIfNegative val="0"/>
          <c:val>
            <c:numRef>
              <c:f>Perceel_3!$AD$109</c:f>
              <c:numCache>
                <c:formatCode>General</c:formatCode>
                <c:ptCount val="1"/>
                <c:pt idx="0">
                  <c:v>0</c:v>
                </c:pt>
              </c:numCache>
            </c:numRef>
          </c:val>
          <c:extLst>
            <c:ext xmlns:c16="http://schemas.microsoft.com/office/drawing/2014/chart" uri="{C3380CC4-5D6E-409C-BE32-E72D297353CC}">
              <c16:uniqueId val="{00000002-2882-4811-BB32-A5D48A41FBDD}"/>
            </c:ext>
          </c:extLst>
        </c:ser>
        <c:ser>
          <c:idx val="4"/>
          <c:order val="9"/>
          <c:tx>
            <c:strRef>
              <c:f>Perceel_3!$AC$62</c:f>
              <c:strCache>
                <c:ptCount val="1"/>
              </c:strCache>
            </c:strRef>
          </c:tx>
          <c:spPr>
            <a:solidFill>
              <a:schemeClr val="accent5"/>
            </a:solidFill>
            <a:ln>
              <a:noFill/>
            </a:ln>
            <a:effectLst/>
          </c:spPr>
          <c:invertIfNegative val="0"/>
          <c:val>
            <c:numRef>
              <c:f>Perceel_3!$AC$109</c:f>
              <c:numCache>
                <c:formatCode>General</c:formatCode>
                <c:ptCount val="1"/>
                <c:pt idx="0">
                  <c:v>0</c:v>
                </c:pt>
              </c:numCache>
            </c:numRef>
          </c:val>
          <c:extLst>
            <c:ext xmlns:c16="http://schemas.microsoft.com/office/drawing/2014/chart" uri="{C3380CC4-5D6E-409C-BE32-E72D297353CC}">
              <c16:uniqueId val="{00000003-2882-4811-BB32-A5D48A41FBDD}"/>
            </c:ext>
          </c:extLst>
        </c:ser>
        <c:ser>
          <c:idx val="3"/>
          <c:order val="10"/>
          <c:tx>
            <c:strRef>
              <c:f>Perceel_3!$AB$62</c:f>
              <c:strCache>
                <c:ptCount val="1"/>
              </c:strCache>
            </c:strRef>
          </c:tx>
          <c:spPr>
            <a:solidFill>
              <a:schemeClr val="accent4"/>
            </a:solidFill>
            <a:ln>
              <a:noFill/>
            </a:ln>
            <a:effectLst/>
          </c:spPr>
          <c:invertIfNegative val="0"/>
          <c:val>
            <c:numRef>
              <c:f>Perceel_3!$AB$109</c:f>
              <c:numCache>
                <c:formatCode>General</c:formatCode>
                <c:ptCount val="1"/>
                <c:pt idx="0">
                  <c:v>0</c:v>
                </c:pt>
              </c:numCache>
            </c:numRef>
          </c:val>
          <c:extLst>
            <c:ext xmlns:c16="http://schemas.microsoft.com/office/drawing/2014/chart" uri="{C3380CC4-5D6E-409C-BE32-E72D297353CC}">
              <c16:uniqueId val="{00000004-2882-4811-BB32-A5D48A41FBDD}"/>
            </c:ext>
          </c:extLst>
        </c:ser>
        <c:ser>
          <c:idx val="2"/>
          <c:order val="11"/>
          <c:tx>
            <c:strRef>
              <c:f>Perceel_3!$AA$62</c:f>
              <c:strCache>
                <c:ptCount val="1"/>
              </c:strCache>
            </c:strRef>
          </c:tx>
          <c:spPr>
            <a:solidFill>
              <a:schemeClr val="accent3"/>
            </a:solidFill>
            <a:ln>
              <a:noFill/>
            </a:ln>
            <a:effectLst/>
          </c:spPr>
          <c:invertIfNegative val="0"/>
          <c:val>
            <c:numRef>
              <c:f>Perceel_3!$AA$109</c:f>
              <c:numCache>
                <c:formatCode>General</c:formatCode>
                <c:ptCount val="1"/>
                <c:pt idx="0">
                  <c:v>0</c:v>
                </c:pt>
              </c:numCache>
            </c:numRef>
          </c:val>
          <c:extLst>
            <c:ext xmlns:c16="http://schemas.microsoft.com/office/drawing/2014/chart" uri="{C3380CC4-5D6E-409C-BE32-E72D297353CC}">
              <c16:uniqueId val="{00000005-2882-4811-BB32-A5D48A41FBDD}"/>
            </c:ext>
          </c:extLst>
        </c:ser>
        <c:ser>
          <c:idx val="1"/>
          <c:order val="12"/>
          <c:tx>
            <c:strRef>
              <c:f>Perceel_3!$Z$62</c:f>
              <c:strCache>
                <c:ptCount val="1"/>
              </c:strCache>
            </c:strRef>
          </c:tx>
          <c:spPr>
            <a:solidFill>
              <a:schemeClr val="accent2"/>
            </a:solidFill>
            <a:ln>
              <a:noFill/>
            </a:ln>
            <a:effectLst/>
          </c:spPr>
          <c:invertIfNegative val="0"/>
          <c:val>
            <c:numRef>
              <c:f>Perceel_3!$Z$109</c:f>
              <c:numCache>
                <c:formatCode>General</c:formatCode>
                <c:ptCount val="1"/>
                <c:pt idx="0">
                  <c:v>0</c:v>
                </c:pt>
              </c:numCache>
            </c:numRef>
          </c:val>
          <c:extLst>
            <c:ext xmlns:c16="http://schemas.microsoft.com/office/drawing/2014/chart" uri="{C3380CC4-5D6E-409C-BE32-E72D297353CC}">
              <c16:uniqueId val="{00000006-2882-4811-BB32-A5D48A41FBDD}"/>
            </c:ext>
          </c:extLst>
        </c:ser>
        <c:ser>
          <c:idx val="0"/>
          <c:order val="13"/>
          <c:tx>
            <c:strRef>
              <c:f>Perceel_3!$Y$62</c:f>
              <c:strCache>
                <c:ptCount val="1"/>
              </c:strCache>
            </c:strRef>
          </c:tx>
          <c:spPr>
            <a:solidFill>
              <a:schemeClr val="accent1"/>
            </a:solidFill>
            <a:ln>
              <a:noFill/>
            </a:ln>
            <a:effectLst/>
          </c:spPr>
          <c:invertIfNegative val="0"/>
          <c:val>
            <c:numRef>
              <c:f>Perceel_3!$Y$109</c:f>
              <c:numCache>
                <c:formatCode>General</c:formatCode>
                <c:ptCount val="1"/>
                <c:pt idx="0">
                  <c:v>0</c:v>
                </c:pt>
              </c:numCache>
            </c:numRef>
          </c:val>
          <c:extLst>
            <c:ext xmlns:c16="http://schemas.microsoft.com/office/drawing/2014/chart" uri="{C3380CC4-5D6E-409C-BE32-E72D297353CC}">
              <c16:uniqueId val="{00000007-2882-4811-BB32-A5D48A41FBDD}"/>
            </c:ext>
          </c:extLst>
        </c:ser>
        <c:dLbls>
          <c:showLegendKey val="0"/>
          <c:showVal val="0"/>
          <c:showCatName val="0"/>
          <c:showSerName val="0"/>
          <c:showPercent val="0"/>
          <c:showBubbleSize val="0"/>
        </c:dLbls>
        <c:gapWidth val="150"/>
        <c:overlap val="100"/>
        <c:axId val="777525200"/>
        <c:axId val="777518000"/>
        <c:extLst>
          <c:ext xmlns:c15="http://schemas.microsoft.com/office/drawing/2012/chart" uri="{02D57815-91ED-43cb-92C2-25804820EDAC}">
            <c15:filteredBarSeries>
              <c15:ser>
                <c:idx val="13"/>
                <c:order val="0"/>
                <c:tx>
                  <c:strRef>
                    <c:extLst>
                      <c:ext uri="{02D57815-91ED-43cb-92C2-25804820EDAC}">
                        <c15:formulaRef>
                          <c15:sqref>Perceel_3!$AL$62</c15:sqref>
                        </c15:formulaRef>
                      </c:ext>
                    </c:extLst>
                    <c:strCache>
                      <c:ptCount val="1"/>
                    </c:strCache>
                  </c:strRef>
                </c:tx>
                <c:spPr>
                  <a:solidFill>
                    <a:schemeClr val="accent2">
                      <a:lumMod val="80000"/>
                      <a:lumOff val="20000"/>
                    </a:schemeClr>
                  </a:solidFill>
                  <a:ln>
                    <a:noFill/>
                  </a:ln>
                  <a:effectLst/>
                </c:spPr>
                <c:invertIfNegative val="0"/>
                <c:val>
                  <c:numRef>
                    <c:extLst>
                      <c:ext uri="{02D57815-91ED-43cb-92C2-25804820EDAC}">
                        <c15:formulaRef>
                          <c15:sqref>Perceel_3!$AL$109</c15:sqref>
                        </c15:formulaRef>
                      </c:ext>
                    </c:extLst>
                    <c:numCache>
                      <c:formatCode>General</c:formatCode>
                      <c:ptCount val="1"/>
                      <c:pt idx="0">
                        <c:v>0</c:v>
                      </c:pt>
                    </c:numCache>
                  </c:numRef>
                </c:val>
                <c:extLst>
                  <c:ext xmlns:c16="http://schemas.microsoft.com/office/drawing/2014/chart" uri="{C3380CC4-5D6E-409C-BE32-E72D297353CC}">
                    <c16:uniqueId val="{00000008-2882-4811-BB32-A5D48A41FBDD}"/>
                  </c:ext>
                </c:extLst>
              </c15:ser>
            </c15:filteredBarSeries>
            <c15:filteredBarSeries>
              <c15:ser>
                <c:idx val="12"/>
                <c:order val="1"/>
                <c:tx>
                  <c:strRef>
                    <c:extLst xmlns:c15="http://schemas.microsoft.com/office/drawing/2012/chart">
                      <c:ext xmlns:c15="http://schemas.microsoft.com/office/drawing/2012/chart" uri="{02D57815-91ED-43cb-92C2-25804820EDAC}">
                        <c15:formulaRef>
                          <c15:sqref>Perceel_3!$AK$62</c15:sqref>
                        </c15:formulaRef>
                      </c:ext>
                    </c:extLst>
                    <c:strCache>
                      <c:ptCount val="1"/>
                    </c:strCache>
                  </c:strRef>
                </c:tx>
                <c:spPr>
                  <a:solidFill>
                    <a:schemeClr val="accent1">
                      <a:lumMod val="80000"/>
                      <a:lumOff val="2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Perceel_3!$AK$109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9-2882-4811-BB32-A5D48A41FBDD}"/>
                  </c:ext>
                </c:extLst>
              </c15:ser>
            </c15:filteredBarSeries>
            <c15:filteredBarSeries>
              <c15:ser>
                <c:idx val="11"/>
                <c:order val="2"/>
                <c:tx>
                  <c:strRef>
                    <c:extLst xmlns:c15="http://schemas.microsoft.com/office/drawing/2012/chart">
                      <c:ext xmlns:c15="http://schemas.microsoft.com/office/drawing/2012/chart" uri="{02D57815-91ED-43cb-92C2-25804820EDAC}">
                        <c15:formulaRef>
                          <c15:sqref>Perceel_3!$AJ$62</c15:sqref>
                        </c15:formulaRef>
                      </c:ext>
                    </c:extLst>
                    <c:strCache>
                      <c:ptCount val="1"/>
                    </c:strCache>
                  </c:strRef>
                </c:tx>
                <c:spPr>
                  <a:solidFill>
                    <a:schemeClr val="accent6">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Perceel_3!$AJ$109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A-2882-4811-BB32-A5D48A41FBDD}"/>
                  </c:ext>
                </c:extLst>
              </c15:ser>
            </c15:filteredBarSeries>
            <c15:filteredBarSeries>
              <c15:ser>
                <c:idx val="10"/>
                <c:order val="3"/>
                <c:tx>
                  <c:strRef>
                    <c:extLst xmlns:c15="http://schemas.microsoft.com/office/drawing/2012/chart">
                      <c:ext xmlns:c15="http://schemas.microsoft.com/office/drawing/2012/chart" uri="{02D57815-91ED-43cb-92C2-25804820EDAC}">
                        <c15:formulaRef>
                          <c15:sqref>Perceel_3!$AI$62</c15:sqref>
                        </c15:formulaRef>
                      </c:ext>
                    </c:extLst>
                    <c:strCache>
                      <c:ptCount val="1"/>
                    </c:strCache>
                  </c:strRef>
                </c:tx>
                <c:spPr>
                  <a:solidFill>
                    <a:schemeClr val="accent5">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Perceel_3!$AI$109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B-2882-4811-BB32-A5D48A41FBDD}"/>
                  </c:ext>
                </c:extLst>
              </c15:ser>
            </c15:filteredBarSeries>
            <c15:filteredBarSeries>
              <c15:ser>
                <c:idx val="9"/>
                <c:order val="4"/>
                <c:tx>
                  <c:strRef>
                    <c:extLst xmlns:c15="http://schemas.microsoft.com/office/drawing/2012/chart">
                      <c:ext xmlns:c15="http://schemas.microsoft.com/office/drawing/2012/chart" uri="{02D57815-91ED-43cb-92C2-25804820EDAC}">
                        <c15:formulaRef>
                          <c15:sqref>Perceel_3!$AH$62</c15:sqref>
                        </c15:formulaRef>
                      </c:ext>
                    </c:extLst>
                    <c:strCache>
                      <c:ptCount val="1"/>
                    </c:strCache>
                  </c:strRef>
                </c:tx>
                <c:spPr>
                  <a:solidFill>
                    <a:schemeClr val="accent4">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Perceel_3!$AH$109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C-2882-4811-BB32-A5D48A41FBDD}"/>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Perceel_3!$AG$62</c15:sqref>
                        </c15:formulaRef>
                      </c:ext>
                    </c:extLst>
                    <c:strCache>
                      <c:ptCount val="1"/>
                    </c:strCache>
                  </c:strRef>
                </c:tx>
                <c:spPr>
                  <a:solidFill>
                    <a:schemeClr val="accent3">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Perceel_3!$AG$109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D-2882-4811-BB32-A5D48A41FBDD}"/>
                  </c:ext>
                </c:extLst>
              </c15:ser>
            </c15:filteredBarSeries>
          </c:ext>
        </c:extLst>
      </c:barChart>
      <c:catAx>
        <c:axId val="777525200"/>
        <c:scaling>
          <c:orientation val="minMax"/>
        </c:scaling>
        <c:delete val="1"/>
        <c:axPos val="b"/>
        <c:numFmt formatCode="General" sourceLinked="1"/>
        <c:majorTickMark val="none"/>
        <c:minorTickMark val="none"/>
        <c:tickLblPos val="nextTo"/>
        <c:crossAx val="777518000"/>
        <c:crosses val="autoZero"/>
        <c:auto val="1"/>
        <c:lblAlgn val="ctr"/>
        <c:lblOffset val="100"/>
        <c:noMultiLvlLbl val="0"/>
      </c:catAx>
      <c:valAx>
        <c:axId val="7775180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775252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Totaal bemest (kg/ha)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radarChart>
        <c:radarStyle val="marker"/>
        <c:varyColors val="0"/>
        <c:ser>
          <c:idx val="0"/>
          <c:order val="0"/>
          <c:tx>
            <c:v>Totaal bemest</c:v>
          </c:tx>
          <c:spPr>
            <a:ln w="28575" cap="rnd">
              <a:solidFill>
                <a:schemeClr val="accent1"/>
              </a:solidFill>
              <a:round/>
            </a:ln>
            <a:effectLst/>
          </c:spPr>
          <c:marker>
            <c:symbol val="none"/>
          </c:marker>
          <c:cat>
            <c:strRef>
              <c:f>Perceel_4!$G$110:$M$110</c:f>
              <c:strCache>
                <c:ptCount val="7"/>
                <c:pt idx="0">
                  <c:v>Nwz</c:v>
                </c:pt>
                <c:pt idx="1">
                  <c:v>P2O5 </c:v>
                </c:pt>
                <c:pt idx="2">
                  <c:v>K2O </c:v>
                </c:pt>
                <c:pt idx="3">
                  <c:v>MgO</c:v>
                </c:pt>
                <c:pt idx="4">
                  <c:v>CaO</c:v>
                </c:pt>
                <c:pt idx="5">
                  <c:v>Na2O</c:v>
                </c:pt>
                <c:pt idx="6">
                  <c:v>SO3 </c:v>
                </c:pt>
              </c:strCache>
            </c:strRef>
          </c:cat>
          <c:val>
            <c:numRef>
              <c:f>Perceel_4!$G$111:$M$111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7C7-4D5C-9C39-5217EB501EB6}"/>
            </c:ext>
          </c:extLst>
        </c:ser>
        <c:ser>
          <c:idx val="1"/>
          <c:order val="1"/>
          <c:tx>
            <c:v>Advies</c:v>
          </c:tx>
          <c:spPr>
            <a:ln w="28575" cap="rnd">
              <a:solidFill>
                <a:srgbClr val="8ED973"/>
              </a:solidFill>
              <a:round/>
            </a:ln>
            <a:effectLst/>
          </c:spPr>
          <c:marker>
            <c:symbol val="none"/>
          </c:marker>
          <c:cat>
            <c:strRef>
              <c:f>Perceel_4!$G$110:$M$110</c:f>
              <c:strCache>
                <c:ptCount val="7"/>
                <c:pt idx="0">
                  <c:v>Nwz</c:v>
                </c:pt>
                <c:pt idx="1">
                  <c:v>P2O5 </c:v>
                </c:pt>
                <c:pt idx="2">
                  <c:v>K2O </c:v>
                </c:pt>
                <c:pt idx="3">
                  <c:v>MgO</c:v>
                </c:pt>
                <c:pt idx="4">
                  <c:v>CaO</c:v>
                </c:pt>
                <c:pt idx="5">
                  <c:v>Na2O</c:v>
                </c:pt>
                <c:pt idx="6">
                  <c:v>SO3 </c:v>
                </c:pt>
              </c:strCache>
            </c:strRef>
          </c:cat>
          <c:val>
            <c:numRef>
              <c:f>Perceel_4!$G$117:$M$117</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7C7-4D5C-9C39-5217EB501EB6}"/>
            </c:ext>
          </c:extLst>
        </c:ser>
        <c:dLbls>
          <c:showLegendKey val="0"/>
          <c:showVal val="0"/>
          <c:showCatName val="0"/>
          <c:showSerName val="0"/>
          <c:showPercent val="0"/>
          <c:showBubbleSize val="0"/>
        </c:dLbls>
        <c:axId val="1485906560"/>
        <c:axId val="1485903200"/>
      </c:radarChart>
      <c:catAx>
        <c:axId val="1485906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nl-BE"/>
          </a:p>
        </c:txPr>
        <c:crossAx val="1485903200"/>
        <c:crosses val="autoZero"/>
        <c:auto val="1"/>
        <c:lblAlgn val="ctr"/>
        <c:lblOffset val="100"/>
        <c:noMultiLvlLbl val="0"/>
      </c:catAx>
      <c:valAx>
        <c:axId val="1485903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4859065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Percentage bemest t.o.v.</a:t>
            </a:r>
            <a:r>
              <a:rPr lang="nl-BE" baseline="0"/>
              <a:t> advies</a:t>
            </a:r>
            <a:endParaRPr lang="nl-B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radarChart>
        <c:radarStyle val="marker"/>
        <c:varyColors val="0"/>
        <c:ser>
          <c:idx val="0"/>
          <c:order val="0"/>
          <c:tx>
            <c:v>Totaal bemest</c:v>
          </c:tx>
          <c:spPr>
            <a:ln w="28575" cap="rnd">
              <a:solidFill>
                <a:schemeClr val="accent1"/>
              </a:solidFill>
              <a:round/>
            </a:ln>
            <a:effectLst/>
          </c:spPr>
          <c:marker>
            <c:symbol val="none"/>
          </c:marker>
          <c:cat>
            <c:strRef>
              <c:f>Perceel_4!$G$110:$M$110</c:f>
              <c:strCache>
                <c:ptCount val="7"/>
                <c:pt idx="0">
                  <c:v>Nwz</c:v>
                </c:pt>
                <c:pt idx="1">
                  <c:v>P2O5 </c:v>
                </c:pt>
                <c:pt idx="2">
                  <c:v>K2O </c:v>
                </c:pt>
                <c:pt idx="3">
                  <c:v>MgO</c:v>
                </c:pt>
                <c:pt idx="4">
                  <c:v>CaO</c:v>
                </c:pt>
                <c:pt idx="5">
                  <c:v>Na2O</c:v>
                </c:pt>
                <c:pt idx="6">
                  <c:v>SO3 </c:v>
                </c:pt>
              </c:strCache>
            </c:strRef>
          </c:cat>
          <c:val>
            <c:numRef>
              <c:f>Perceel_4!$G$118:$M$118</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A34-411B-9E8C-4804273EAA39}"/>
            </c:ext>
          </c:extLst>
        </c:ser>
        <c:ser>
          <c:idx val="1"/>
          <c:order val="1"/>
          <c:tx>
            <c:v>Advies</c:v>
          </c:tx>
          <c:spPr>
            <a:ln w="28575" cap="rnd">
              <a:solidFill>
                <a:schemeClr val="accent2"/>
              </a:solidFill>
              <a:round/>
            </a:ln>
            <a:effectLst/>
          </c:spPr>
          <c:marker>
            <c:symbol val="none"/>
          </c:marker>
          <c:cat>
            <c:strRef>
              <c:f>Perceel_1!$G$110:$M$110</c:f>
              <c:strCache>
                <c:ptCount val="7"/>
                <c:pt idx="0">
                  <c:v>Nwz</c:v>
                </c:pt>
                <c:pt idx="1">
                  <c:v>P2O5 </c:v>
                </c:pt>
                <c:pt idx="2">
                  <c:v>K2O </c:v>
                </c:pt>
                <c:pt idx="3">
                  <c:v>MgO</c:v>
                </c:pt>
                <c:pt idx="4">
                  <c:v>CaO</c:v>
                </c:pt>
                <c:pt idx="5">
                  <c:v>Na2O</c:v>
                </c:pt>
                <c:pt idx="6">
                  <c:v>SO3 </c:v>
                </c:pt>
              </c:strCache>
            </c:strRef>
          </c:cat>
          <c:val>
            <c:numRef>
              <c:f>Perceel_1!$G$119:$M$119</c:f>
            </c:numRef>
          </c:val>
          <c:extLst>
            <c:ext xmlns:c16="http://schemas.microsoft.com/office/drawing/2014/chart" uri="{C3380CC4-5D6E-409C-BE32-E72D297353CC}">
              <c16:uniqueId val="{00000001-1A34-411B-9E8C-4804273EAA39}"/>
            </c:ext>
          </c:extLst>
        </c:ser>
        <c:ser>
          <c:idx val="2"/>
          <c:order val="2"/>
          <c:tx>
            <c:v>Advies</c:v>
          </c:tx>
          <c:spPr>
            <a:ln w="28575" cap="rnd">
              <a:solidFill>
                <a:srgbClr val="8ED973"/>
              </a:solidFill>
              <a:round/>
            </a:ln>
            <a:effectLst/>
          </c:spPr>
          <c:marker>
            <c:symbol val="none"/>
          </c:marker>
          <c:val>
            <c:numRef>
              <c:f>Perceel_4!$G$120:$M$120</c:f>
              <c:numCache>
                <c:formatCode>0</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2-1A34-411B-9E8C-4804273EAA39}"/>
            </c:ext>
          </c:extLst>
        </c:ser>
        <c:dLbls>
          <c:showLegendKey val="0"/>
          <c:showVal val="0"/>
          <c:showCatName val="0"/>
          <c:showSerName val="0"/>
          <c:showPercent val="0"/>
          <c:showBubbleSize val="0"/>
        </c:dLbls>
        <c:axId val="933104944"/>
        <c:axId val="933105424"/>
      </c:radarChart>
      <c:catAx>
        <c:axId val="933104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nl-BE"/>
          </a:p>
        </c:txPr>
        <c:crossAx val="933105424"/>
        <c:crosses val="autoZero"/>
        <c:auto val="1"/>
        <c:lblAlgn val="ctr"/>
        <c:lblOffset val="100"/>
        <c:noMultiLvlLbl val="0"/>
      </c:catAx>
      <c:valAx>
        <c:axId val="933105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9331049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Bemesting % per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1"/>
          <c:order val="1"/>
          <c:tx>
            <c:strRef>
              <c:f>Perceel_4!$G$110</c:f>
              <c:strCache>
                <c:ptCount val="1"/>
                <c:pt idx="0">
                  <c:v>Nwz</c:v>
                </c:pt>
              </c:strCache>
            </c:strRef>
          </c:tx>
          <c:spPr>
            <a:solidFill>
              <a:srgbClr val="00B050"/>
            </a:solidFill>
            <a:ln>
              <a:noFill/>
            </a:ln>
            <a:effectLst/>
          </c:spPr>
          <c:invertIfNegative val="0"/>
          <c:cat>
            <c:strRef>
              <c:f>Perceel_4!$E$126:$E$131</c:f>
              <c:strCache>
                <c:ptCount val="6"/>
                <c:pt idx="0">
                  <c:v>Voor 1ste snede</c:v>
                </c:pt>
                <c:pt idx="1">
                  <c:v>Voor 2de snede</c:v>
                </c:pt>
                <c:pt idx="2">
                  <c:v>Voor 3de snede</c:v>
                </c:pt>
                <c:pt idx="3">
                  <c:v>Voor 4de snede</c:v>
                </c:pt>
                <c:pt idx="4">
                  <c:v>Voor 5de snede</c:v>
                </c:pt>
                <c:pt idx="5">
                  <c:v>Voor 6de snede</c:v>
                </c:pt>
              </c:strCache>
            </c:strRef>
          </c:cat>
          <c:val>
            <c:numRef>
              <c:f>Perceel_4!$G$126:$G$131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8570-4ED8-AF87-2706863DF6A1}"/>
            </c:ext>
          </c:extLst>
        </c:ser>
        <c:ser>
          <c:idx val="2"/>
          <c:order val="2"/>
          <c:tx>
            <c:strRef>
              <c:f>Perceel_4!$H$110</c:f>
              <c:strCache>
                <c:ptCount val="1"/>
                <c:pt idx="0">
                  <c:v>P2O5 </c:v>
                </c:pt>
              </c:strCache>
            </c:strRef>
          </c:tx>
          <c:spPr>
            <a:solidFill>
              <a:schemeClr val="accent5"/>
            </a:solidFill>
            <a:ln>
              <a:noFill/>
            </a:ln>
            <a:effectLst/>
          </c:spPr>
          <c:invertIfNegative val="0"/>
          <c:val>
            <c:numRef>
              <c:f>Perceel_4!$H$126:$H$131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8570-4ED8-AF87-2706863DF6A1}"/>
            </c:ext>
          </c:extLst>
        </c:ser>
        <c:ser>
          <c:idx val="3"/>
          <c:order val="3"/>
          <c:tx>
            <c:strRef>
              <c:f>Perceel_4!$I$110</c:f>
              <c:strCache>
                <c:ptCount val="1"/>
                <c:pt idx="0">
                  <c:v>K2O </c:v>
                </c:pt>
              </c:strCache>
            </c:strRef>
          </c:tx>
          <c:spPr>
            <a:solidFill>
              <a:schemeClr val="accent4"/>
            </a:solidFill>
            <a:ln>
              <a:noFill/>
            </a:ln>
            <a:effectLst/>
          </c:spPr>
          <c:invertIfNegative val="0"/>
          <c:val>
            <c:numRef>
              <c:f>Perceel_4!$I$126:$I$131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8570-4ED8-AF87-2706863DF6A1}"/>
            </c:ext>
          </c:extLst>
        </c:ser>
        <c:ser>
          <c:idx val="4"/>
          <c:order val="4"/>
          <c:tx>
            <c:strRef>
              <c:f>Perceel_4!$J$110</c:f>
              <c:strCache>
                <c:ptCount val="1"/>
                <c:pt idx="0">
                  <c:v>MgO</c:v>
                </c:pt>
              </c:strCache>
            </c:strRef>
          </c:tx>
          <c:spPr>
            <a:solidFill>
              <a:srgbClr val="FFFF00"/>
            </a:solidFill>
            <a:ln>
              <a:noFill/>
            </a:ln>
            <a:effectLst/>
          </c:spPr>
          <c:invertIfNegative val="0"/>
          <c:val>
            <c:numRef>
              <c:f>Perceel_4!$J$126:$J$131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8570-4ED8-AF87-2706863DF6A1}"/>
            </c:ext>
          </c:extLst>
        </c:ser>
        <c:ser>
          <c:idx val="5"/>
          <c:order val="5"/>
          <c:tx>
            <c:strRef>
              <c:f>Perceel_4!$K$110</c:f>
              <c:strCache>
                <c:ptCount val="1"/>
                <c:pt idx="0">
                  <c:v>CaO</c:v>
                </c:pt>
              </c:strCache>
            </c:strRef>
          </c:tx>
          <c:spPr>
            <a:solidFill>
              <a:srgbClr val="FFFFCC"/>
            </a:solidFill>
            <a:ln>
              <a:noFill/>
            </a:ln>
            <a:effectLst/>
          </c:spPr>
          <c:invertIfNegative val="0"/>
          <c:val>
            <c:numRef>
              <c:f>Perceel_4!$K$126:$K$131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8570-4ED8-AF87-2706863DF6A1}"/>
            </c:ext>
          </c:extLst>
        </c:ser>
        <c:ser>
          <c:idx val="6"/>
          <c:order val="6"/>
          <c:tx>
            <c:strRef>
              <c:f>Perceel_4!$L$110</c:f>
              <c:strCache>
                <c:ptCount val="1"/>
                <c:pt idx="0">
                  <c:v>Na2O</c:v>
                </c:pt>
              </c:strCache>
            </c:strRef>
          </c:tx>
          <c:spPr>
            <a:solidFill>
              <a:schemeClr val="accent1">
                <a:lumMod val="60000"/>
              </a:schemeClr>
            </a:solidFill>
            <a:ln>
              <a:noFill/>
            </a:ln>
            <a:effectLst/>
          </c:spPr>
          <c:invertIfNegative val="0"/>
          <c:val>
            <c:numRef>
              <c:f>Perceel_4!$L$126:$L$131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8570-4ED8-AF87-2706863DF6A1}"/>
            </c:ext>
          </c:extLst>
        </c:ser>
        <c:ser>
          <c:idx val="7"/>
          <c:order val="7"/>
          <c:tx>
            <c:strRef>
              <c:f>Perceel_4!$M$110</c:f>
              <c:strCache>
                <c:ptCount val="1"/>
                <c:pt idx="0">
                  <c:v>SO3 </c:v>
                </c:pt>
              </c:strCache>
            </c:strRef>
          </c:tx>
          <c:spPr>
            <a:solidFill>
              <a:schemeClr val="accent2">
                <a:lumMod val="60000"/>
              </a:schemeClr>
            </a:solidFill>
            <a:ln>
              <a:noFill/>
            </a:ln>
            <a:effectLst/>
          </c:spPr>
          <c:invertIfNegative val="0"/>
          <c:val>
            <c:numRef>
              <c:f>Perceel_4!$M$126:$M$131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6-8570-4ED8-AF87-2706863DF6A1}"/>
            </c:ext>
          </c:extLst>
        </c:ser>
        <c:dLbls>
          <c:showLegendKey val="0"/>
          <c:showVal val="0"/>
          <c:showCatName val="0"/>
          <c:showSerName val="0"/>
          <c:showPercent val="0"/>
          <c:showBubbleSize val="0"/>
        </c:dLbls>
        <c:gapWidth val="219"/>
        <c:overlap val="-27"/>
        <c:axId val="624734144"/>
        <c:axId val="624734624"/>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Perceel_4!$E$126:$E$131</c15:sqref>
                        </c15:formulaRef>
                      </c:ext>
                    </c:extLst>
                    <c:strCache>
                      <c:ptCount val="6"/>
                      <c:pt idx="0">
                        <c:v>Voor 1ste snede</c:v>
                      </c:pt>
                      <c:pt idx="1">
                        <c:v>Voor 2de snede</c:v>
                      </c:pt>
                      <c:pt idx="2">
                        <c:v>Voor 3de snede</c:v>
                      </c:pt>
                      <c:pt idx="3">
                        <c:v>Voor 4de snede</c:v>
                      </c:pt>
                      <c:pt idx="4">
                        <c:v>Voor 5de snede</c:v>
                      </c:pt>
                      <c:pt idx="5">
                        <c:v>Voor 6de snede</c:v>
                      </c:pt>
                    </c:strCache>
                  </c:strRef>
                </c:cat>
                <c:val>
                  <c:numRef>
                    <c:extLst>
                      <c:ext uri="{02D57815-91ED-43cb-92C2-25804820EDAC}">
                        <c15:formulaRef>
                          <c15:sqref>Perceel_4!$F$126:$F$131</c15:sqref>
                        </c15:formulaRef>
                      </c:ext>
                    </c:extLst>
                    <c:numCache>
                      <c:formatCode>General</c:formatCode>
                      <c:ptCount val="6"/>
                    </c:numCache>
                  </c:numRef>
                </c:val>
                <c:extLst>
                  <c:ext xmlns:c16="http://schemas.microsoft.com/office/drawing/2014/chart" uri="{C3380CC4-5D6E-409C-BE32-E72D297353CC}">
                    <c16:uniqueId val="{00000007-8570-4ED8-AF87-2706863DF6A1}"/>
                  </c:ext>
                </c:extLst>
              </c15:ser>
            </c15:filteredBarSeries>
          </c:ext>
        </c:extLst>
      </c:barChart>
      <c:catAx>
        <c:axId val="62473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24734624"/>
        <c:crosses val="autoZero"/>
        <c:auto val="1"/>
        <c:lblAlgn val="ctr"/>
        <c:lblOffset val="100"/>
        <c:noMultiLvlLbl val="0"/>
      </c:catAx>
      <c:valAx>
        <c:axId val="6247346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247341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1ste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Perceel_4!$G$69:$M$69</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60A8-4015-A9DA-474D760A3848}"/>
            </c:ext>
          </c:extLst>
        </c:ser>
        <c:ser>
          <c:idx val="1"/>
          <c:order val="1"/>
          <c:tx>
            <c:v>Advies</c:v>
          </c:tx>
          <c:spPr>
            <a:solidFill>
              <a:srgbClr val="8ED973"/>
            </a:solidFill>
            <a:ln>
              <a:noFill/>
            </a:ln>
            <a:effectLst/>
          </c:spPr>
          <c:invertIfNegative val="0"/>
          <c:val>
            <c:numRef>
              <c:f>Perceel_4!$D$35:$J$35</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60A8-4015-A9DA-474D760A3848}"/>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2de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Perceel_4!$G$77:$M$77</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23CB-442F-A7EB-D47EA0B46086}"/>
            </c:ext>
          </c:extLst>
        </c:ser>
        <c:ser>
          <c:idx val="1"/>
          <c:order val="1"/>
          <c:tx>
            <c:v>Advies</c:v>
          </c:tx>
          <c:spPr>
            <a:solidFill>
              <a:srgbClr val="8ED973"/>
            </a:solidFill>
            <a:ln>
              <a:noFill/>
            </a:ln>
            <a:effectLst/>
          </c:spPr>
          <c:invertIfNegative val="0"/>
          <c:val>
            <c:numRef>
              <c:f>Perceel_4!$D$36:$J$36</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23CB-442F-A7EB-D47EA0B46086}"/>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3de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Perceel_4!$G$85:$M$85</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6B3D-40F9-9588-788A9ED7ED59}"/>
            </c:ext>
          </c:extLst>
        </c:ser>
        <c:ser>
          <c:idx val="1"/>
          <c:order val="1"/>
          <c:tx>
            <c:v>Advies</c:v>
          </c:tx>
          <c:spPr>
            <a:solidFill>
              <a:srgbClr val="8ED973"/>
            </a:solidFill>
            <a:ln>
              <a:noFill/>
            </a:ln>
            <a:effectLst/>
          </c:spPr>
          <c:invertIfNegative val="0"/>
          <c:val>
            <c:numRef>
              <c:f>Perceel_4!$D$37:$J$37</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6B3D-40F9-9588-788A9ED7ED59}"/>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4de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Perceel_4!$G$93:$M$93</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984C-4AF5-92FC-BFBC7821BFC2}"/>
            </c:ext>
          </c:extLst>
        </c:ser>
        <c:ser>
          <c:idx val="1"/>
          <c:order val="1"/>
          <c:tx>
            <c:v>Advies</c:v>
          </c:tx>
          <c:spPr>
            <a:solidFill>
              <a:srgbClr val="8ED973"/>
            </a:solidFill>
            <a:ln>
              <a:noFill/>
            </a:ln>
            <a:effectLst/>
          </c:spPr>
          <c:invertIfNegative val="0"/>
          <c:val>
            <c:numRef>
              <c:f>Perceel_4!$D$38:$J$38</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984C-4AF5-92FC-BFBC7821BFC2}"/>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5de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Perceel_4!$G$101:$M$101</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3C26-4D4F-950C-CAD4D3945EF3}"/>
            </c:ext>
          </c:extLst>
        </c:ser>
        <c:ser>
          <c:idx val="1"/>
          <c:order val="1"/>
          <c:tx>
            <c:v>Advies</c:v>
          </c:tx>
          <c:spPr>
            <a:solidFill>
              <a:srgbClr val="8ED973"/>
            </a:solidFill>
            <a:ln>
              <a:noFill/>
            </a:ln>
            <a:effectLst/>
          </c:spPr>
          <c:invertIfNegative val="0"/>
          <c:val>
            <c:numRef>
              <c:f>Perceel_4!$D$39:$J$39</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3C26-4D4F-950C-CAD4D3945EF3}"/>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6de snede</a:t>
            </a:r>
          </a:p>
        </c:rich>
      </c:tx>
      <c:layout>
        <c:manualLayout>
          <c:xMode val="edge"/>
          <c:yMode val="edge"/>
          <c:x val="0.43161230842160675"/>
          <c:y val="2.3952095808383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Perceel_4!$G$109:$M$109</c:f>
              <c:numCache>
                <c:formatCode>General</c:formatCode>
                <c:ptCount val="7"/>
                <c:pt idx="0" formatCode="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8E96-4211-A033-764FD88A6B65}"/>
            </c:ext>
          </c:extLst>
        </c:ser>
        <c:ser>
          <c:idx val="1"/>
          <c:order val="1"/>
          <c:tx>
            <c:v>Advies</c:v>
          </c:tx>
          <c:spPr>
            <a:solidFill>
              <a:srgbClr val="8ED973"/>
            </a:solidFill>
            <a:ln>
              <a:noFill/>
            </a:ln>
            <a:effectLst/>
          </c:spPr>
          <c:invertIfNegative val="0"/>
          <c:val>
            <c:numRef>
              <c:f>Perceel_4!$D$40:$J$40</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8E96-4211-A033-764FD88A6B65}"/>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Kostprijs bemesting (EUR/ha)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stacked"/>
        <c:varyColors val="0"/>
        <c:ser>
          <c:idx val="7"/>
          <c:order val="6"/>
          <c:tx>
            <c:strRef>
              <c:f>Perceel_4!$AF$62</c:f>
              <c:strCache>
                <c:ptCount val="1"/>
              </c:strCache>
            </c:strRef>
          </c:tx>
          <c:spPr>
            <a:solidFill>
              <a:schemeClr val="accent2">
                <a:lumMod val="60000"/>
              </a:schemeClr>
            </a:solidFill>
            <a:ln>
              <a:noFill/>
            </a:ln>
            <a:effectLst/>
          </c:spPr>
          <c:invertIfNegative val="0"/>
          <c:val>
            <c:numRef>
              <c:f>Perceel_4!$AF$109</c:f>
              <c:numCache>
                <c:formatCode>General</c:formatCode>
                <c:ptCount val="1"/>
                <c:pt idx="0">
                  <c:v>0</c:v>
                </c:pt>
              </c:numCache>
            </c:numRef>
          </c:val>
          <c:extLst>
            <c:ext xmlns:c16="http://schemas.microsoft.com/office/drawing/2014/chart" uri="{C3380CC4-5D6E-409C-BE32-E72D297353CC}">
              <c16:uniqueId val="{00000000-5456-431A-AEAB-F913796F71BE}"/>
            </c:ext>
          </c:extLst>
        </c:ser>
        <c:ser>
          <c:idx val="6"/>
          <c:order val="7"/>
          <c:tx>
            <c:strRef>
              <c:f>Perceel_4!$AE$62</c:f>
              <c:strCache>
                <c:ptCount val="1"/>
              </c:strCache>
            </c:strRef>
          </c:tx>
          <c:spPr>
            <a:solidFill>
              <a:schemeClr val="accent1">
                <a:lumMod val="60000"/>
              </a:schemeClr>
            </a:solidFill>
            <a:ln>
              <a:noFill/>
            </a:ln>
            <a:effectLst/>
          </c:spPr>
          <c:invertIfNegative val="0"/>
          <c:val>
            <c:numRef>
              <c:f>Perceel_4!$AE$109</c:f>
              <c:numCache>
                <c:formatCode>General</c:formatCode>
                <c:ptCount val="1"/>
                <c:pt idx="0">
                  <c:v>0</c:v>
                </c:pt>
              </c:numCache>
            </c:numRef>
          </c:val>
          <c:extLst>
            <c:ext xmlns:c16="http://schemas.microsoft.com/office/drawing/2014/chart" uri="{C3380CC4-5D6E-409C-BE32-E72D297353CC}">
              <c16:uniqueId val="{00000001-5456-431A-AEAB-F913796F71BE}"/>
            </c:ext>
          </c:extLst>
        </c:ser>
        <c:ser>
          <c:idx val="5"/>
          <c:order val="8"/>
          <c:tx>
            <c:strRef>
              <c:f>Perceel_4!$AD$62</c:f>
              <c:strCache>
                <c:ptCount val="1"/>
              </c:strCache>
            </c:strRef>
          </c:tx>
          <c:spPr>
            <a:solidFill>
              <a:schemeClr val="accent6"/>
            </a:solidFill>
            <a:ln>
              <a:noFill/>
            </a:ln>
            <a:effectLst/>
          </c:spPr>
          <c:invertIfNegative val="0"/>
          <c:val>
            <c:numRef>
              <c:f>Perceel_4!$AD$109</c:f>
              <c:numCache>
                <c:formatCode>General</c:formatCode>
                <c:ptCount val="1"/>
                <c:pt idx="0">
                  <c:v>0</c:v>
                </c:pt>
              </c:numCache>
            </c:numRef>
          </c:val>
          <c:extLst>
            <c:ext xmlns:c16="http://schemas.microsoft.com/office/drawing/2014/chart" uri="{C3380CC4-5D6E-409C-BE32-E72D297353CC}">
              <c16:uniqueId val="{00000002-5456-431A-AEAB-F913796F71BE}"/>
            </c:ext>
          </c:extLst>
        </c:ser>
        <c:ser>
          <c:idx val="4"/>
          <c:order val="9"/>
          <c:tx>
            <c:strRef>
              <c:f>Perceel_4!$AC$62</c:f>
              <c:strCache>
                <c:ptCount val="1"/>
              </c:strCache>
            </c:strRef>
          </c:tx>
          <c:spPr>
            <a:solidFill>
              <a:schemeClr val="accent5"/>
            </a:solidFill>
            <a:ln>
              <a:noFill/>
            </a:ln>
            <a:effectLst/>
          </c:spPr>
          <c:invertIfNegative val="0"/>
          <c:val>
            <c:numRef>
              <c:f>Perceel_4!$AC$109</c:f>
              <c:numCache>
                <c:formatCode>General</c:formatCode>
                <c:ptCount val="1"/>
                <c:pt idx="0">
                  <c:v>0</c:v>
                </c:pt>
              </c:numCache>
            </c:numRef>
          </c:val>
          <c:extLst>
            <c:ext xmlns:c16="http://schemas.microsoft.com/office/drawing/2014/chart" uri="{C3380CC4-5D6E-409C-BE32-E72D297353CC}">
              <c16:uniqueId val="{00000003-5456-431A-AEAB-F913796F71BE}"/>
            </c:ext>
          </c:extLst>
        </c:ser>
        <c:ser>
          <c:idx val="3"/>
          <c:order val="10"/>
          <c:tx>
            <c:strRef>
              <c:f>Perceel_4!$AB$62</c:f>
              <c:strCache>
                <c:ptCount val="1"/>
              </c:strCache>
            </c:strRef>
          </c:tx>
          <c:spPr>
            <a:solidFill>
              <a:schemeClr val="accent4"/>
            </a:solidFill>
            <a:ln>
              <a:noFill/>
            </a:ln>
            <a:effectLst/>
          </c:spPr>
          <c:invertIfNegative val="0"/>
          <c:val>
            <c:numRef>
              <c:f>Perceel_4!$AB$109</c:f>
              <c:numCache>
                <c:formatCode>General</c:formatCode>
                <c:ptCount val="1"/>
                <c:pt idx="0">
                  <c:v>0</c:v>
                </c:pt>
              </c:numCache>
            </c:numRef>
          </c:val>
          <c:extLst>
            <c:ext xmlns:c16="http://schemas.microsoft.com/office/drawing/2014/chart" uri="{C3380CC4-5D6E-409C-BE32-E72D297353CC}">
              <c16:uniqueId val="{00000004-5456-431A-AEAB-F913796F71BE}"/>
            </c:ext>
          </c:extLst>
        </c:ser>
        <c:ser>
          <c:idx val="2"/>
          <c:order val="11"/>
          <c:tx>
            <c:strRef>
              <c:f>Perceel_4!$AA$62</c:f>
              <c:strCache>
                <c:ptCount val="1"/>
              </c:strCache>
            </c:strRef>
          </c:tx>
          <c:spPr>
            <a:solidFill>
              <a:schemeClr val="accent3"/>
            </a:solidFill>
            <a:ln>
              <a:noFill/>
            </a:ln>
            <a:effectLst/>
          </c:spPr>
          <c:invertIfNegative val="0"/>
          <c:val>
            <c:numRef>
              <c:f>Perceel_4!$AA$109</c:f>
              <c:numCache>
                <c:formatCode>General</c:formatCode>
                <c:ptCount val="1"/>
                <c:pt idx="0">
                  <c:v>0</c:v>
                </c:pt>
              </c:numCache>
            </c:numRef>
          </c:val>
          <c:extLst>
            <c:ext xmlns:c16="http://schemas.microsoft.com/office/drawing/2014/chart" uri="{C3380CC4-5D6E-409C-BE32-E72D297353CC}">
              <c16:uniqueId val="{00000005-5456-431A-AEAB-F913796F71BE}"/>
            </c:ext>
          </c:extLst>
        </c:ser>
        <c:ser>
          <c:idx val="1"/>
          <c:order val="12"/>
          <c:tx>
            <c:strRef>
              <c:f>Perceel_4!$Z$62</c:f>
              <c:strCache>
                <c:ptCount val="1"/>
              </c:strCache>
            </c:strRef>
          </c:tx>
          <c:spPr>
            <a:solidFill>
              <a:schemeClr val="accent2"/>
            </a:solidFill>
            <a:ln>
              <a:noFill/>
            </a:ln>
            <a:effectLst/>
          </c:spPr>
          <c:invertIfNegative val="0"/>
          <c:val>
            <c:numRef>
              <c:f>Perceel_4!$Z$109</c:f>
              <c:numCache>
                <c:formatCode>General</c:formatCode>
                <c:ptCount val="1"/>
                <c:pt idx="0">
                  <c:v>0</c:v>
                </c:pt>
              </c:numCache>
            </c:numRef>
          </c:val>
          <c:extLst>
            <c:ext xmlns:c16="http://schemas.microsoft.com/office/drawing/2014/chart" uri="{C3380CC4-5D6E-409C-BE32-E72D297353CC}">
              <c16:uniqueId val="{00000006-5456-431A-AEAB-F913796F71BE}"/>
            </c:ext>
          </c:extLst>
        </c:ser>
        <c:ser>
          <c:idx val="0"/>
          <c:order val="13"/>
          <c:tx>
            <c:strRef>
              <c:f>Perceel_4!$Y$62</c:f>
              <c:strCache>
                <c:ptCount val="1"/>
              </c:strCache>
            </c:strRef>
          </c:tx>
          <c:spPr>
            <a:solidFill>
              <a:schemeClr val="accent1"/>
            </a:solidFill>
            <a:ln>
              <a:noFill/>
            </a:ln>
            <a:effectLst/>
          </c:spPr>
          <c:invertIfNegative val="0"/>
          <c:val>
            <c:numRef>
              <c:f>Perceel_4!$Y$109</c:f>
              <c:numCache>
                <c:formatCode>General</c:formatCode>
                <c:ptCount val="1"/>
                <c:pt idx="0">
                  <c:v>0</c:v>
                </c:pt>
              </c:numCache>
            </c:numRef>
          </c:val>
          <c:extLst>
            <c:ext xmlns:c16="http://schemas.microsoft.com/office/drawing/2014/chart" uri="{C3380CC4-5D6E-409C-BE32-E72D297353CC}">
              <c16:uniqueId val="{00000007-5456-431A-AEAB-F913796F71BE}"/>
            </c:ext>
          </c:extLst>
        </c:ser>
        <c:dLbls>
          <c:showLegendKey val="0"/>
          <c:showVal val="0"/>
          <c:showCatName val="0"/>
          <c:showSerName val="0"/>
          <c:showPercent val="0"/>
          <c:showBubbleSize val="0"/>
        </c:dLbls>
        <c:gapWidth val="150"/>
        <c:overlap val="100"/>
        <c:axId val="777525200"/>
        <c:axId val="777518000"/>
        <c:extLst>
          <c:ext xmlns:c15="http://schemas.microsoft.com/office/drawing/2012/chart" uri="{02D57815-91ED-43cb-92C2-25804820EDAC}">
            <c15:filteredBarSeries>
              <c15:ser>
                <c:idx val="13"/>
                <c:order val="0"/>
                <c:tx>
                  <c:strRef>
                    <c:extLst>
                      <c:ext uri="{02D57815-91ED-43cb-92C2-25804820EDAC}">
                        <c15:formulaRef>
                          <c15:sqref>Perceel_4!$AL$62</c15:sqref>
                        </c15:formulaRef>
                      </c:ext>
                    </c:extLst>
                    <c:strCache>
                      <c:ptCount val="1"/>
                    </c:strCache>
                  </c:strRef>
                </c:tx>
                <c:spPr>
                  <a:solidFill>
                    <a:schemeClr val="accent2">
                      <a:lumMod val="80000"/>
                      <a:lumOff val="20000"/>
                    </a:schemeClr>
                  </a:solidFill>
                  <a:ln>
                    <a:noFill/>
                  </a:ln>
                  <a:effectLst/>
                </c:spPr>
                <c:invertIfNegative val="0"/>
                <c:val>
                  <c:numRef>
                    <c:extLst>
                      <c:ext uri="{02D57815-91ED-43cb-92C2-25804820EDAC}">
                        <c15:formulaRef>
                          <c15:sqref>Perceel_4!$AL$109</c15:sqref>
                        </c15:formulaRef>
                      </c:ext>
                    </c:extLst>
                    <c:numCache>
                      <c:formatCode>General</c:formatCode>
                      <c:ptCount val="1"/>
                      <c:pt idx="0">
                        <c:v>0</c:v>
                      </c:pt>
                    </c:numCache>
                  </c:numRef>
                </c:val>
                <c:extLst>
                  <c:ext xmlns:c16="http://schemas.microsoft.com/office/drawing/2014/chart" uri="{C3380CC4-5D6E-409C-BE32-E72D297353CC}">
                    <c16:uniqueId val="{00000008-5456-431A-AEAB-F913796F71BE}"/>
                  </c:ext>
                </c:extLst>
              </c15:ser>
            </c15:filteredBarSeries>
            <c15:filteredBarSeries>
              <c15:ser>
                <c:idx val="12"/>
                <c:order val="1"/>
                <c:tx>
                  <c:strRef>
                    <c:extLst xmlns:c15="http://schemas.microsoft.com/office/drawing/2012/chart">
                      <c:ext xmlns:c15="http://schemas.microsoft.com/office/drawing/2012/chart" uri="{02D57815-91ED-43cb-92C2-25804820EDAC}">
                        <c15:formulaRef>
                          <c15:sqref>Perceel_4!$AK$62</c15:sqref>
                        </c15:formulaRef>
                      </c:ext>
                    </c:extLst>
                    <c:strCache>
                      <c:ptCount val="1"/>
                    </c:strCache>
                  </c:strRef>
                </c:tx>
                <c:spPr>
                  <a:solidFill>
                    <a:schemeClr val="accent1">
                      <a:lumMod val="80000"/>
                      <a:lumOff val="2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Perceel_4!$AK$109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9-5456-431A-AEAB-F913796F71BE}"/>
                  </c:ext>
                </c:extLst>
              </c15:ser>
            </c15:filteredBarSeries>
            <c15:filteredBarSeries>
              <c15:ser>
                <c:idx val="11"/>
                <c:order val="2"/>
                <c:tx>
                  <c:strRef>
                    <c:extLst xmlns:c15="http://schemas.microsoft.com/office/drawing/2012/chart">
                      <c:ext xmlns:c15="http://schemas.microsoft.com/office/drawing/2012/chart" uri="{02D57815-91ED-43cb-92C2-25804820EDAC}">
                        <c15:formulaRef>
                          <c15:sqref>Perceel_4!$AJ$62</c15:sqref>
                        </c15:formulaRef>
                      </c:ext>
                    </c:extLst>
                    <c:strCache>
                      <c:ptCount val="1"/>
                    </c:strCache>
                  </c:strRef>
                </c:tx>
                <c:spPr>
                  <a:solidFill>
                    <a:schemeClr val="accent6">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Perceel_4!$AJ$109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A-5456-431A-AEAB-F913796F71BE}"/>
                  </c:ext>
                </c:extLst>
              </c15:ser>
            </c15:filteredBarSeries>
            <c15:filteredBarSeries>
              <c15:ser>
                <c:idx val="10"/>
                <c:order val="3"/>
                <c:tx>
                  <c:strRef>
                    <c:extLst xmlns:c15="http://schemas.microsoft.com/office/drawing/2012/chart">
                      <c:ext xmlns:c15="http://schemas.microsoft.com/office/drawing/2012/chart" uri="{02D57815-91ED-43cb-92C2-25804820EDAC}">
                        <c15:formulaRef>
                          <c15:sqref>Perceel_4!$AI$62</c15:sqref>
                        </c15:formulaRef>
                      </c:ext>
                    </c:extLst>
                    <c:strCache>
                      <c:ptCount val="1"/>
                    </c:strCache>
                  </c:strRef>
                </c:tx>
                <c:spPr>
                  <a:solidFill>
                    <a:schemeClr val="accent5">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Perceel_4!$AI$109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B-5456-431A-AEAB-F913796F71BE}"/>
                  </c:ext>
                </c:extLst>
              </c15:ser>
            </c15:filteredBarSeries>
            <c15:filteredBarSeries>
              <c15:ser>
                <c:idx val="9"/>
                <c:order val="4"/>
                <c:tx>
                  <c:strRef>
                    <c:extLst xmlns:c15="http://schemas.microsoft.com/office/drawing/2012/chart">
                      <c:ext xmlns:c15="http://schemas.microsoft.com/office/drawing/2012/chart" uri="{02D57815-91ED-43cb-92C2-25804820EDAC}">
                        <c15:formulaRef>
                          <c15:sqref>Perceel_4!$AH$62</c15:sqref>
                        </c15:formulaRef>
                      </c:ext>
                    </c:extLst>
                    <c:strCache>
                      <c:ptCount val="1"/>
                    </c:strCache>
                  </c:strRef>
                </c:tx>
                <c:spPr>
                  <a:solidFill>
                    <a:schemeClr val="accent4">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Perceel_4!$AH$109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C-5456-431A-AEAB-F913796F71BE}"/>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Perceel_4!$AG$62</c15:sqref>
                        </c15:formulaRef>
                      </c:ext>
                    </c:extLst>
                    <c:strCache>
                      <c:ptCount val="1"/>
                    </c:strCache>
                  </c:strRef>
                </c:tx>
                <c:spPr>
                  <a:solidFill>
                    <a:schemeClr val="accent3">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Perceel_4!$AG$109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D-5456-431A-AEAB-F913796F71BE}"/>
                  </c:ext>
                </c:extLst>
              </c15:ser>
            </c15:filteredBarSeries>
          </c:ext>
        </c:extLst>
      </c:barChart>
      <c:catAx>
        <c:axId val="777525200"/>
        <c:scaling>
          <c:orientation val="minMax"/>
        </c:scaling>
        <c:delete val="1"/>
        <c:axPos val="b"/>
        <c:numFmt formatCode="General" sourceLinked="1"/>
        <c:majorTickMark val="none"/>
        <c:minorTickMark val="none"/>
        <c:tickLblPos val="nextTo"/>
        <c:crossAx val="777518000"/>
        <c:crosses val="autoZero"/>
        <c:auto val="1"/>
        <c:lblAlgn val="ctr"/>
        <c:lblOffset val="100"/>
        <c:noMultiLvlLbl val="0"/>
      </c:catAx>
      <c:valAx>
        <c:axId val="7775180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775252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Totaal bemest (kg/ha)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radarChart>
        <c:radarStyle val="marker"/>
        <c:varyColors val="0"/>
        <c:ser>
          <c:idx val="0"/>
          <c:order val="0"/>
          <c:tx>
            <c:v>Totaal bemest</c:v>
          </c:tx>
          <c:spPr>
            <a:ln w="28575" cap="rnd">
              <a:solidFill>
                <a:schemeClr val="accent1"/>
              </a:solidFill>
              <a:round/>
            </a:ln>
            <a:effectLst/>
          </c:spPr>
          <c:marker>
            <c:symbol val="none"/>
          </c:marker>
          <c:cat>
            <c:strRef>
              <c:f>Perceel_5!$G$110:$M$110</c:f>
              <c:strCache>
                <c:ptCount val="7"/>
                <c:pt idx="0">
                  <c:v>Nwz</c:v>
                </c:pt>
                <c:pt idx="1">
                  <c:v>P2O5 </c:v>
                </c:pt>
                <c:pt idx="2">
                  <c:v>K2O </c:v>
                </c:pt>
                <c:pt idx="3">
                  <c:v>MgO</c:v>
                </c:pt>
                <c:pt idx="4">
                  <c:v>CaO</c:v>
                </c:pt>
                <c:pt idx="5">
                  <c:v>Na2O</c:v>
                </c:pt>
                <c:pt idx="6">
                  <c:v>SO3 </c:v>
                </c:pt>
              </c:strCache>
            </c:strRef>
          </c:cat>
          <c:val>
            <c:numRef>
              <c:f>Perceel_5!$G$111:$M$111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18F-4745-88FF-A03AE6B76237}"/>
            </c:ext>
          </c:extLst>
        </c:ser>
        <c:ser>
          <c:idx val="1"/>
          <c:order val="1"/>
          <c:tx>
            <c:v>Advies</c:v>
          </c:tx>
          <c:spPr>
            <a:ln w="28575" cap="rnd">
              <a:solidFill>
                <a:srgbClr val="8ED973"/>
              </a:solidFill>
              <a:round/>
            </a:ln>
            <a:effectLst/>
          </c:spPr>
          <c:marker>
            <c:symbol val="none"/>
          </c:marker>
          <c:cat>
            <c:strRef>
              <c:f>Perceel_5!$G$110:$M$110</c:f>
              <c:strCache>
                <c:ptCount val="7"/>
                <c:pt idx="0">
                  <c:v>Nwz</c:v>
                </c:pt>
                <c:pt idx="1">
                  <c:v>P2O5 </c:v>
                </c:pt>
                <c:pt idx="2">
                  <c:v>K2O </c:v>
                </c:pt>
                <c:pt idx="3">
                  <c:v>MgO</c:v>
                </c:pt>
                <c:pt idx="4">
                  <c:v>CaO</c:v>
                </c:pt>
                <c:pt idx="5">
                  <c:v>Na2O</c:v>
                </c:pt>
                <c:pt idx="6">
                  <c:v>SO3 </c:v>
                </c:pt>
              </c:strCache>
            </c:strRef>
          </c:cat>
          <c:val>
            <c:numRef>
              <c:f>Perceel_5!$G$117:$M$117</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118F-4745-88FF-A03AE6B76237}"/>
            </c:ext>
          </c:extLst>
        </c:ser>
        <c:dLbls>
          <c:showLegendKey val="0"/>
          <c:showVal val="0"/>
          <c:showCatName val="0"/>
          <c:showSerName val="0"/>
          <c:showPercent val="0"/>
          <c:showBubbleSize val="0"/>
        </c:dLbls>
        <c:axId val="1485906560"/>
        <c:axId val="1485903200"/>
      </c:radarChart>
      <c:catAx>
        <c:axId val="1485906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nl-BE"/>
          </a:p>
        </c:txPr>
        <c:crossAx val="1485903200"/>
        <c:crosses val="autoZero"/>
        <c:auto val="1"/>
        <c:lblAlgn val="ctr"/>
        <c:lblOffset val="100"/>
        <c:noMultiLvlLbl val="0"/>
      </c:catAx>
      <c:valAx>
        <c:axId val="1485903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4859065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Percentage bemest t.o.v.</a:t>
            </a:r>
            <a:r>
              <a:rPr lang="nl-BE" baseline="0"/>
              <a:t> advies</a:t>
            </a:r>
            <a:endParaRPr lang="nl-B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radarChart>
        <c:radarStyle val="marker"/>
        <c:varyColors val="0"/>
        <c:ser>
          <c:idx val="0"/>
          <c:order val="0"/>
          <c:tx>
            <c:v>Totaal bemest</c:v>
          </c:tx>
          <c:spPr>
            <a:ln w="28575" cap="rnd">
              <a:solidFill>
                <a:schemeClr val="accent1"/>
              </a:solidFill>
              <a:round/>
            </a:ln>
            <a:effectLst/>
          </c:spPr>
          <c:marker>
            <c:symbol val="none"/>
          </c:marker>
          <c:cat>
            <c:strRef>
              <c:f>Perceel_5!$G$110:$M$110</c:f>
              <c:strCache>
                <c:ptCount val="7"/>
                <c:pt idx="0">
                  <c:v>Nwz</c:v>
                </c:pt>
                <c:pt idx="1">
                  <c:v>P2O5 </c:v>
                </c:pt>
                <c:pt idx="2">
                  <c:v>K2O </c:v>
                </c:pt>
                <c:pt idx="3">
                  <c:v>MgO</c:v>
                </c:pt>
                <c:pt idx="4">
                  <c:v>CaO</c:v>
                </c:pt>
                <c:pt idx="5">
                  <c:v>Na2O</c:v>
                </c:pt>
                <c:pt idx="6">
                  <c:v>SO3 </c:v>
                </c:pt>
              </c:strCache>
            </c:strRef>
          </c:cat>
          <c:val>
            <c:numRef>
              <c:f>Perceel_5!$G$118:$M$118</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D40-41AB-B531-7FD87ECAF4D4}"/>
            </c:ext>
          </c:extLst>
        </c:ser>
        <c:ser>
          <c:idx val="1"/>
          <c:order val="1"/>
          <c:tx>
            <c:v>Advies</c:v>
          </c:tx>
          <c:spPr>
            <a:ln w="28575" cap="rnd">
              <a:solidFill>
                <a:schemeClr val="accent2"/>
              </a:solidFill>
              <a:round/>
            </a:ln>
            <a:effectLst/>
          </c:spPr>
          <c:marker>
            <c:symbol val="none"/>
          </c:marker>
          <c:cat>
            <c:strRef>
              <c:f>Perceel_1!$G$110:$M$110</c:f>
              <c:strCache>
                <c:ptCount val="7"/>
                <c:pt idx="0">
                  <c:v>Nwz</c:v>
                </c:pt>
                <c:pt idx="1">
                  <c:v>P2O5 </c:v>
                </c:pt>
                <c:pt idx="2">
                  <c:v>K2O </c:v>
                </c:pt>
                <c:pt idx="3">
                  <c:v>MgO</c:v>
                </c:pt>
                <c:pt idx="4">
                  <c:v>CaO</c:v>
                </c:pt>
                <c:pt idx="5">
                  <c:v>Na2O</c:v>
                </c:pt>
                <c:pt idx="6">
                  <c:v>SO3 </c:v>
                </c:pt>
              </c:strCache>
            </c:strRef>
          </c:cat>
          <c:val>
            <c:numRef>
              <c:f>Perceel_1!$G$119:$M$119</c:f>
            </c:numRef>
          </c:val>
          <c:extLst>
            <c:ext xmlns:c16="http://schemas.microsoft.com/office/drawing/2014/chart" uri="{C3380CC4-5D6E-409C-BE32-E72D297353CC}">
              <c16:uniqueId val="{00000001-0D40-41AB-B531-7FD87ECAF4D4}"/>
            </c:ext>
          </c:extLst>
        </c:ser>
        <c:ser>
          <c:idx val="2"/>
          <c:order val="2"/>
          <c:tx>
            <c:v>Advies</c:v>
          </c:tx>
          <c:spPr>
            <a:ln w="28575" cap="rnd">
              <a:solidFill>
                <a:srgbClr val="8ED973"/>
              </a:solidFill>
              <a:round/>
            </a:ln>
            <a:effectLst/>
          </c:spPr>
          <c:marker>
            <c:symbol val="none"/>
          </c:marker>
          <c:val>
            <c:numRef>
              <c:f>Perceel_5!$G$120:$M$120</c:f>
              <c:numCache>
                <c:formatCode>0</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2-0D40-41AB-B531-7FD87ECAF4D4}"/>
            </c:ext>
          </c:extLst>
        </c:ser>
        <c:dLbls>
          <c:showLegendKey val="0"/>
          <c:showVal val="0"/>
          <c:showCatName val="0"/>
          <c:showSerName val="0"/>
          <c:showPercent val="0"/>
          <c:showBubbleSize val="0"/>
        </c:dLbls>
        <c:axId val="933104944"/>
        <c:axId val="933105424"/>
      </c:radarChart>
      <c:catAx>
        <c:axId val="933104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nl-BE"/>
          </a:p>
        </c:txPr>
        <c:crossAx val="933105424"/>
        <c:crosses val="autoZero"/>
        <c:auto val="1"/>
        <c:lblAlgn val="ctr"/>
        <c:lblOffset val="100"/>
        <c:noMultiLvlLbl val="0"/>
      </c:catAx>
      <c:valAx>
        <c:axId val="933105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9331049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Bemesting % per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1"/>
          <c:order val="1"/>
          <c:tx>
            <c:strRef>
              <c:f>Perceel_5!$G$110</c:f>
              <c:strCache>
                <c:ptCount val="1"/>
                <c:pt idx="0">
                  <c:v>Nwz</c:v>
                </c:pt>
              </c:strCache>
            </c:strRef>
          </c:tx>
          <c:spPr>
            <a:solidFill>
              <a:srgbClr val="00B050"/>
            </a:solidFill>
            <a:ln>
              <a:noFill/>
            </a:ln>
            <a:effectLst/>
          </c:spPr>
          <c:invertIfNegative val="0"/>
          <c:cat>
            <c:strRef>
              <c:f>Perceel_5!$E$126:$E$131</c:f>
              <c:strCache>
                <c:ptCount val="6"/>
                <c:pt idx="0">
                  <c:v>Voor 1ste snede</c:v>
                </c:pt>
                <c:pt idx="1">
                  <c:v>Voor 2de snede</c:v>
                </c:pt>
                <c:pt idx="2">
                  <c:v>Voor 3de snede</c:v>
                </c:pt>
                <c:pt idx="3">
                  <c:v>Voor 4de snede</c:v>
                </c:pt>
                <c:pt idx="4">
                  <c:v>Voor 5de snede</c:v>
                </c:pt>
                <c:pt idx="5">
                  <c:v>Voor 6de snede</c:v>
                </c:pt>
              </c:strCache>
            </c:strRef>
          </c:cat>
          <c:val>
            <c:numRef>
              <c:f>Perceel_5!$G$126:$G$131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8D8F-4BCB-99E2-45022198D9D8}"/>
            </c:ext>
          </c:extLst>
        </c:ser>
        <c:ser>
          <c:idx val="2"/>
          <c:order val="2"/>
          <c:tx>
            <c:strRef>
              <c:f>Perceel_5!$H$110</c:f>
              <c:strCache>
                <c:ptCount val="1"/>
                <c:pt idx="0">
                  <c:v>P2O5 </c:v>
                </c:pt>
              </c:strCache>
            </c:strRef>
          </c:tx>
          <c:spPr>
            <a:solidFill>
              <a:schemeClr val="accent5"/>
            </a:solidFill>
            <a:ln>
              <a:noFill/>
            </a:ln>
            <a:effectLst/>
          </c:spPr>
          <c:invertIfNegative val="0"/>
          <c:val>
            <c:numRef>
              <c:f>Perceel_5!$H$126:$H$131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8D8F-4BCB-99E2-45022198D9D8}"/>
            </c:ext>
          </c:extLst>
        </c:ser>
        <c:ser>
          <c:idx val="3"/>
          <c:order val="3"/>
          <c:tx>
            <c:strRef>
              <c:f>Perceel_5!$I$110</c:f>
              <c:strCache>
                <c:ptCount val="1"/>
                <c:pt idx="0">
                  <c:v>K2O </c:v>
                </c:pt>
              </c:strCache>
            </c:strRef>
          </c:tx>
          <c:spPr>
            <a:solidFill>
              <a:schemeClr val="accent4"/>
            </a:solidFill>
            <a:ln>
              <a:noFill/>
            </a:ln>
            <a:effectLst/>
          </c:spPr>
          <c:invertIfNegative val="0"/>
          <c:val>
            <c:numRef>
              <c:f>Perceel_5!$I$126:$I$131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8D8F-4BCB-99E2-45022198D9D8}"/>
            </c:ext>
          </c:extLst>
        </c:ser>
        <c:ser>
          <c:idx val="4"/>
          <c:order val="4"/>
          <c:tx>
            <c:strRef>
              <c:f>Perceel_5!$J$110</c:f>
              <c:strCache>
                <c:ptCount val="1"/>
                <c:pt idx="0">
                  <c:v>MgO</c:v>
                </c:pt>
              </c:strCache>
            </c:strRef>
          </c:tx>
          <c:spPr>
            <a:solidFill>
              <a:srgbClr val="FFFF00"/>
            </a:solidFill>
            <a:ln>
              <a:noFill/>
            </a:ln>
            <a:effectLst/>
          </c:spPr>
          <c:invertIfNegative val="0"/>
          <c:val>
            <c:numRef>
              <c:f>Perceel_5!$J$126:$J$131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8D8F-4BCB-99E2-45022198D9D8}"/>
            </c:ext>
          </c:extLst>
        </c:ser>
        <c:ser>
          <c:idx val="5"/>
          <c:order val="5"/>
          <c:tx>
            <c:strRef>
              <c:f>Perceel_5!$K$110</c:f>
              <c:strCache>
                <c:ptCount val="1"/>
                <c:pt idx="0">
                  <c:v>CaO</c:v>
                </c:pt>
              </c:strCache>
            </c:strRef>
          </c:tx>
          <c:spPr>
            <a:solidFill>
              <a:srgbClr val="FFFFCC"/>
            </a:solidFill>
            <a:ln>
              <a:noFill/>
            </a:ln>
            <a:effectLst/>
          </c:spPr>
          <c:invertIfNegative val="0"/>
          <c:val>
            <c:numRef>
              <c:f>Perceel_5!$K$126:$K$131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8D8F-4BCB-99E2-45022198D9D8}"/>
            </c:ext>
          </c:extLst>
        </c:ser>
        <c:ser>
          <c:idx val="6"/>
          <c:order val="6"/>
          <c:tx>
            <c:strRef>
              <c:f>Perceel_5!$L$110</c:f>
              <c:strCache>
                <c:ptCount val="1"/>
                <c:pt idx="0">
                  <c:v>Na2O</c:v>
                </c:pt>
              </c:strCache>
            </c:strRef>
          </c:tx>
          <c:spPr>
            <a:solidFill>
              <a:schemeClr val="accent1">
                <a:lumMod val="60000"/>
              </a:schemeClr>
            </a:solidFill>
            <a:ln>
              <a:noFill/>
            </a:ln>
            <a:effectLst/>
          </c:spPr>
          <c:invertIfNegative val="0"/>
          <c:val>
            <c:numRef>
              <c:f>Perceel_5!$L$126:$L$131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8D8F-4BCB-99E2-45022198D9D8}"/>
            </c:ext>
          </c:extLst>
        </c:ser>
        <c:ser>
          <c:idx val="7"/>
          <c:order val="7"/>
          <c:tx>
            <c:strRef>
              <c:f>Perceel_5!$M$110</c:f>
              <c:strCache>
                <c:ptCount val="1"/>
                <c:pt idx="0">
                  <c:v>SO3 </c:v>
                </c:pt>
              </c:strCache>
            </c:strRef>
          </c:tx>
          <c:spPr>
            <a:solidFill>
              <a:schemeClr val="accent2">
                <a:lumMod val="60000"/>
              </a:schemeClr>
            </a:solidFill>
            <a:ln>
              <a:noFill/>
            </a:ln>
            <a:effectLst/>
          </c:spPr>
          <c:invertIfNegative val="0"/>
          <c:val>
            <c:numRef>
              <c:f>Perceel_5!$M$126:$M$131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6-8D8F-4BCB-99E2-45022198D9D8}"/>
            </c:ext>
          </c:extLst>
        </c:ser>
        <c:dLbls>
          <c:showLegendKey val="0"/>
          <c:showVal val="0"/>
          <c:showCatName val="0"/>
          <c:showSerName val="0"/>
          <c:showPercent val="0"/>
          <c:showBubbleSize val="0"/>
        </c:dLbls>
        <c:gapWidth val="219"/>
        <c:overlap val="-27"/>
        <c:axId val="624734144"/>
        <c:axId val="624734624"/>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Perceel_5!$E$126:$E$131</c15:sqref>
                        </c15:formulaRef>
                      </c:ext>
                    </c:extLst>
                    <c:strCache>
                      <c:ptCount val="6"/>
                      <c:pt idx="0">
                        <c:v>Voor 1ste snede</c:v>
                      </c:pt>
                      <c:pt idx="1">
                        <c:v>Voor 2de snede</c:v>
                      </c:pt>
                      <c:pt idx="2">
                        <c:v>Voor 3de snede</c:v>
                      </c:pt>
                      <c:pt idx="3">
                        <c:v>Voor 4de snede</c:v>
                      </c:pt>
                      <c:pt idx="4">
                        <c:v>Voor 5de snede</c:v>
                      </c:pt>
                      <c:pt idx="5">
                        <c:v>Voor 6de snede</c:v>
                      </c:pt>
                    </c:strCache>
                  </c:strRef>
                </c:cat>
                <c:val>
                  <c:numRef>
                    <c:extLst>
                      <c:ext uri="{02D57815-91ED-43cb-92C2-25804820EDAC}">
                        <c15:formulaRef>
                          <c15:sqref>Perceel_5!$F$126:$F$131</c15:sqref>
                        </c15:formulaRef>
                      </c:ext>
                    </c:extLst>
                    <c:numCache>
                      <c:formatCode>General</c:formatCode>
                      <c:ptCount val="6"/>
                    </c:numCache>
                  </c:numRef>
                </c:val>
                <c:extLst>
                  <c:ext xmlns:c16="http://schemas.microsoft.com/office/drawing/2014/chart" uri="{C3380CC4-5D6E-409C-BE32-E72D297353CC}">
                    <c16:uniqueId val="{00000007-8D8F-4BCB-99E2-45022198D9D8}"/>
                  </c:ext>
                </c:extLst>
              </c15:ser>
            </c15:filteredBarSeries>
          </c:ext>
        </c:extLst>
      </c:barChart>
      <c:catAx>
        <c:axId val="62473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24734624"/>
        <c:crosses val="autoZero"/>
        <c:auto val="1"/>
        <c:lblAlgn val="ctr"/>
        <c:lblOffset val="100"/>
        <c:noMultiLvlLbl val="0"/>
      </c:catAx>
      <c:valAx>
        <c:axId val="6247346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247341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1ste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Perceel_5!$G$69:$M$69</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C457-4FD6-862A-2DABC06673D4}"/>
            </c:ext>
          </c:extLst>
        </c:ser>
        <c:ser>
          <c:idx val="1"/>
          <c:order val="1"/>
          <c:tx>
            <c:v>Advies</c:v>
          </c:tx>
          <c:spPr>
            <a:solidFill>
              <a:srgbClr val="8ED973"/>
            </a:solidFill>
            <a:ln>
              <a:noFill/>
            </a:ln>
            <a:effectLst/>
          </c:spPr>
          <c:invertIfNegative val="0"/>
          <c:val>
            <c:numRef>
              <c:f>Perceel_5!$D$35:$J$35</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C457-4FD6-862A-2DABC06673D4}"/>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2de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Perceel_5!$G$77:$M$77</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BD7C-4422-94DD-5CAA5792F8F5}"/>
            </c:ext>
          </c:extLst>
        </c:ser>
        <c:ser>
          <c:idx val="1"/>
          <c:order val="1"/>
          <c:tx>
            <c:v>Advies</c:v>
          </c:tx>
          <c:spPr>
            <a:solidFill>
              <a:srgbClr val="8ED973"/>
            </a:solidFill>
            <a:ln>
              <a:noFill/>
            </a:ln>
            <a:effectLst/>
          </c:spPr>
          <c:invertIfNegative val="0"/>
          <c:val>
            <c:numRef>
              <c:f>Perceel_5!$D$36:$J$36</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BD7C-4422-94DD-5CAA5792F8F5}"/>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3de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Perceel_5!$G$85:$M$85</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18B1-4166-A4A2-7BE58458597A}"/>
            </c:ext>
          </c:extLst>
        </c:ser>
        <c:ser>
          <c:idx val="1"/>
          <c:order val="1"/>
          <c:tx>
            <c:v>Advies</c:v>
          </c:tx>
          <c:spPr>
            <a:solidFill>
              <a:srgbClr val="8ED973"/>
            </a:solidFill>
            <a:ln>
              <a:noFill/>
            </a:ln>
            <a:effectLst/>
          </c:spPr>
          <c:invertIfNegative val="0"/>
          <c:val>
            <c:numRef>
              <c:f>Perceel_5!$D$37:$J$37</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18B1-4166-A4A2-7BE58458597A}"/>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4de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Perceel_5!$G$93:$M$93</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C01C-4B7F-888E-7E2652404710}"/>
            </c:ext>
          </c:extLst>
        </c:ser>
        <c:ser>
          <c:idx val="1"/>
          <c:order val="1"/>
          <c:tx>
            <c:v>Advies</c:v>
          </c:tx>
          <c:spPr>
            <a:solidFill>
              <a:srgbClr val="8ED973"/>
            </a:solidFill>
            <a:ln>
              <a:noFill/>
            </a:ln>
            <a:effectLst/>
          </c:spPr>
          <c:invertIfNegative val="0"/>
          <c:val>
            <c:numRef>
              <c:f>Perceel_5!$D$38:$J$38</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C01C-4B7F-888E-7E2652404710}"/>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5de snede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Perceel_5!$G$101:$M$101</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22E4-4D63-A240-D3866E1F77F6}"/>
            </c:ext>
          </c:extLst>
        </c:ser>
        <c:ser>
          <c:idx val="1"/>
          <c:order val="1"/>
          <c:tx>
            <c:v>Advies</c:v>
          </c:tx>
          <c:spPr>
            <a:solidFill>
              <a:srgbClr val="8ED973"/>
            </a:solidFill>
            <a:ln>
              <a:noFill/>
            </a:ln>
            <a:effectLst/>
          </c:spPr>
          <c:invertIfNegative val="0"/>
          <c:val>
            <c:numRef>
              <c:f>Perceel_5!$D$39:$J$39</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22E4-4D63-A240-D3866E1F77F6}"/>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6de snede</a:t>
            </a:r>
          </a:p>
        </c:rich>
      </c:tx>
      <c:layout>
        <c:manualLayout>
          <c:xMode val="edge"/>
          <c:yMode val="edge"/>
          <c:x val="0.43161230842160675"/>
          <c:y val="2.3952095808383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clustered"/>
        <c:varyColors val="0"/>
        <c:ser>
          <c:idx val="0"/>
          <c:order val="0"/>
          <c:tx>
            <c:v>Bemest</c:v>
          </c:tx>
          <c:spPr>
            <a:solidFill>
              <a:schemeClr val="accent1"/>
            </a:solidFill>
            <a:ln>
              <a:noFill/>
            </a:ln>
            <a:effectLst/>
          </c:spPr>
          <c:invertIfNegative val="0"/>
          <c:val>
            <c:numRef>
              <c:f>Perceel_5!$G$109:$M$109</c:f>
              <c:numCache>
                <c:formatCode>General</c:formatCode>
                <c:ptCount val="7"/>
                <c:pt idx="0" formatCode="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0-2EB3-4A9D-8ABB-8D2AA05E0DCE}"/>
            </c:ext>
          </c:extLst>
        </c:ser>
        <c:ser>
          <c:idx val="1"/>
          <c:order val="1"/>
          <c:tx>
            <c:v>Advies</c:v>
          </c:tx>
          <c:spPr>
            <a:solidFill>
              <a:srgbClr val="8ED973"/>
            </a:solidFill>
            <a:ln>
              <a:noFill/>
            </a:ln>
            <a:effectLst/>
          </c:spPr>
          <c:invertIfNegative val="0"/>
          <c:val>
            <c:numRef>
              <c:f>Perceel_5!$D$40:$J$40</c:f>
              <c:numCache>
                <c:formatCode>General</c:formatCode>
                <c:ptCount val="7"/>
              </c:numCache>
            </c:numRef>
          </c:val>
          <c:extLst>
            <c:ext xmlns:c15="http://schemas.microsoft.com/office/drawing/2012/chart" uri="{02D57815-91ED-43cb-92C2-25804820EDAC}">
              <c15:filteredCategoryTitle>
                <c15:cat>
                  <c:multiLvlStrRef>
                    <c:extLst>
                      <c:ext uri="{02D57815-91ED-43cb-92C2-25804820EDAC}">
                        <c15:formulaRef>
                          <c15:sqref>Perceel_1!$D$33:$J$33</c15:sqref>
                        </c15:formulaRef>
                      </c:ext>
                    </c:extLst>
                  </c:multiLvlStrRef>
                </c15:cat>
              </c15:filteredCategoryTitle>
            </c:ext>
            <c:ext xmlns:c16="http://schemas.microsoft.com/office/drawing/2014/chart" uri="{C3380CC4-5D6E-409C-BE32-E72D297353CC}">
              <c16:uniqueId val="{00000001-2EB3-4A9D-8ABB-8D2AA05E0DCE}"/>
            </c:ext>
          </c:extLst>
        </c:ser>
        <c:dLbls>
          <c:showLegendKey val="0"/>
          <c:showVal val="0"/>
          <c:showCatName val="0"/>
          <c:showSerName val="0"/>
          <c:showPercent val="0"/>
          <c:showBubbleSize val="0"/>
        </c:dLbls>
        <c:gapWidth val="219"/>
        <c:overlap val="-27"/>
        <c:axId val="127503727"/>
        <c:axId val="127502767"/>
      </c:barChart>
      <c:catAx>
        <c:axId val="127503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2767"/>
        <c:crosses val="autoZero"/>
        <c:auto val="1"/>
        <c:lblAlgn val="ctr"/>
        <c:lblOffset val="100"/>
        <c:noMultiLvlLbl val="0"/>
      </c:catAx>
      <c:valAx>
        <c:axId val="12750276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kg/ha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275037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Kostprijs bemesting (EUR/ha)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stacked"/>
        <c:varyColors val="0"/>
        <c:ser>
          <c:idx val="7"/>
          <c:order val="6"/>
          <c:tx>
            <c:strRef>
              <c:f>Perceel_5!$AF$62</c:f>
              <c:strCache>
                <c:ptCount val="1"/>
              </c:strCache>
            </c:strRef>
          </c:tx>
          <c:spPr>
            <a:solidFill>
              <a:schemeClr val="accent2">
                <a:lumMod val="60000"/>
              </a:schemeClr>
            </a:solidFill>
            <a:ln>
              <a:noFill/>
            </a:ln>
            <a:effectLst/>
          </c:spPr>
          <c:invertIfNegative val="0"/>
          <c:val>
            <c:numRef>
              <c:f>Perceel_5!$AF$109</c:f>
              <c:numCache>
                <c:formatCode>General</c:formatCode>
                <c:ptCount val="1"/>
                <c:pt idx="0">
                  <c:v>0</c:v>
                </c:pt>
              </c:numCache>
            </c:numRef>
          </c:val>
          <c:extLst>
            <c:ext xmlns:c16="http://schemas.microsoft.com/office/drawing/2014/chart" uri="{C3380CC4-5D6E-409C-BE32-E72D297353CC}">
              <c16:uniqueId val="{00000000-88D9-43A1-8F49-33B5B2D1CBBB}"/>
            </c:ext>
          </c:extLst>
        </c:ser>
        <c:ser>
          <c:idx val="6"/>
          <c:order val="7"/>
          <c:tx>
            <c:strRef>
              <c:f>Perceel_5!$AE$62</c:f>
              <c:strCache>
                <c:ptCount val="1"/>
              </c:strCache>
            </c:strRef>
          </c:tx>
          <c:spPr>
            <a:solidFill>
              <a:schemeClr val="accent1">
                <a:lumMod val="60000"/>
              </a:schemeClr>
            </a:solidFill>
            <a:ln>
              <a:noFill/>
            </a:ln>
            <a:effectLst/>
          </c:spPr>
          <c:invertIfNegative val="0"/>
          <c:val>
            <c:numRef>
              <c:f>Perceel_5!$AE$109</c:f>
              <c:numCache>
                <c:formatCode>General</c:formatCode>
                <c:ptCount val="1"/>
                <c:pt idx="0">
                  <c:v>0</c:v>
                </c:pt>
              </c:numCache>
            </c:numRef>
          </c:val>
          <c:extLst>
            <c:ext xmlns:c16="http://schemas.microsoft.com/office/drawing/2014/chart" uri="{C3380CC4-5D6E-409C-BE32-E72D297353CC}">
              <c16:uniqueId val="{00000001-88D9-43A1-8F49-33B5B2D1CBBB}"/>
            </c:ext>
          </c:extLst>
        </c:ser>
        <c:ser>
          <c:idx val="5"/>
          <c:order val="8"/>
          <c:tx>
            <c:strRef>
              <c:f>Perceel_5!$AD$62</c:f>
              <c:strCache>
                <c:ptCount val="1"/>
              </c:strCache>
            </c:strRef>
          </c:tx>
          <c:spPr>
            <a:solidFill>
              <a:schemeClr val="accent6"/>
            </a:solidFill>
            <a:ln>
              <a:noFill/>
            </a:ln>
            <a:effectLst/>
          </c:spPr>
          <c:invertIfNegative val="0"/>
          <c:val>
            <c:numRef>
              <c:f>Perceel_5!$AD$109</c:f>
              <c:numCache>
                <c:formatCode>General</c:formatCode>
                <c:ptCount val="1"/>
                <c:pt idx="0">
                  <c:v>0</c:v>
                </c:pt>
              </c:numCache>
            </c:numRef>
          </c:val>
          <c:extLst>
            <c:ext xmlns:c16="http://schemas.microsoft.com/office/drawing/2014/chart" uri="{C3380CC4-5D6E-409C-BE32-E72D297353CC}">
              <c16:uniqueId val="{00000002-88D9-43A1-8F49-33B5B2D1CBBB}"/>
            </c:ext>
          </c:extLst>
        </c:ser>
        <c:ser>
          <c:idx val="4"/>
          <c:order val="9"/>
          <c:tx>
            <c:strRef>
              <c:f>Perceel_5!$AC$62</c:f>
              <c:strCache>
                <c:ptCount val="1"/>
              </c:strCache>
            </c:strRef>
          </c:tx>
          <c:spPr>
            <a:solidFill>
              <a:schemeClr val="accent5"/>
            </a:solidFill>
            <a:ln>
              <a:noFill/>
            </a:ln>
            <a:effectLst/>
          </c:spPr>
          <c:invertIfNegative val="0"/>
          <c:val>
            <c:numRef>
              <c:f>Perceel_5!$AC$109</c:f>
              <c:numCache>
                <c:formatCode>General</c:formatCode>
                <c:ptCount val="1"/>
                <c:pt idx="0">
                  <c:v>0</c:v>
                </c:pt>
              </c:numCache>
            </c:numRef>
          </c:val>
          <c:extLst>
            <c:ext xmlns:c16="http://schemas.microsoft.com/office/drawing/2014/chart" uri="{C3380CC4-5D6E-409C-BE32-E72D297353CC}">
              <c16:uniqueId val="{00000003-88D9-43A1-8F49-33B5B2D1CBBB}"/>
            </c:ext>
          </c:extLst>
        </c:ser>
        <c:ser>
          <c:idx val="3"/>
          <c:order val="10"/>
          <c:tx>
            <c:strRef>
              <c:f>Perceel_5!$AB$62</c:f>
              <c:strCache>
                <c:ptCount val="1"/>
              </c:strCache>
            </c:strRef>
          </c:tx>
          <c:spPr>
            <a:solidFill>
              <a:schemeClr val="accent4"/>
            </a:solidFill>
            <a:ln>
              <a:noFill/>
            </a:ln>
            <a:effectLst/>
          </c:spPr>
          <c:invertIfNegative val="0"/>
          <c:val>
            <c:numRef>
              <c:f>Perceel_5!$AB$109</c:f>
              <c:numCache>
                <c:formatCode>General</c:formatCode>
                <c:ptCount val="1"/>
                <c:pt idx="0">
                  <c:v>0</c:v>
                </c:pt>
              </c:numCache>
            </c:numRef>
          </c:val>
          <c:extLst>
            <c:ext xmlns:c16="http://schemas.microsoft.com/office/drawing/2014/chart" uri="{C3380CC4-5D6E-409C-BE32-E72D297353CC}">
              <c16:uniqueId val="{00000004-88D9-43A1-8F49-33B5B2D1CBBB}"/>
            </c:ext>
          </c:extLst>
        </c:ser>
        <c:ser>
          <c:idx val="2"/>
          <c:order val="11"/>
          <c:tx>
            <c:strRef>
              <c:f>Perceel_5!$AA$62</c:f>
              <c:strCache>
                <c:ptCount val="1"/>
              </c:strCache>
            </c:strRef>
          </c:tx>
          <c:spPr>
            <a:solidFill>
              <a:schemeClr val="accent3"/>
            </a:solidFill>
            <a:ln>
              <a:noFill/>
            </a:ln>
            <a:effectLst/>
          </c:spPr>
          <c:invertIfNegative val="0"/>
          <c:val>
            <c:numRef>
              <c:f>Perceel_5!$AA$109</c:f>
              <c:numCache>
                <c:formatCode>General</c:formatCode>
                <c:ptCount val="1"/>
                <c:pt idx="0">
                  <c:v>0</c:v>
                </c:pt>
              </c:numCache>
            </c:numRef>
          </c:val>
          <c:extLst>
            <c:ext xmlns:c16="http://schemas.microsoft.com/office/drawing/2014/chart" uri="{C3380CC4-5D6E-409C-BE32-E72D297353CC}">
              <c16:uniqueId val="{00000005-88D9-43A1-8F49-33B5B2D1CBBB}"/>
            </c:ext>
          </c:extLst>
        </c:ser>
        <c:ser>
          <c:idx val="1"/>
          <c:order val="12"/>
          <c:tx>
            <c:strRef>
              <c:f>Perceel_5!$Z$62</c:f>
              <c:strCache>
                <c:ptCount val="1"/>
              </c:strCache>
            </c:strRef>
          </c:tx>
          <c:spPr>
            <a:solidFill>
              <a:schemeClr val="accent2"/>
            </a:solidFill>
            <a:ln>
              <a:noFill/>
            </a:ln>
            <a:effectLst/>
          </c:spPr>
          <c:invertIfNegative val="0"/>
          <c:val>
            <c:numRef>
              <c:f>Perceel_5!$Z$109</c:f>
              <c:numCache>
                <c:formatCode>General</c:formatCode>
                <c:ptCount val="1"/>
                <c:pt idx="0">
                  <c:v>0</c:v>
                </c:pt>
              </c:numCache>
            </c:numRef>
          </c:val>
          <c:extLst>
            <c:ext xmlns:c16="http://schemas.microsoft.com/office/drawing/2014/chart" uri="{C3380CC4-5D6E-409C-BE32-E72D297353CC}">
              <c16:uniqueId val="{00000006-88D9-43A1-8F49-33B5B2D1CBBB}"/>
            </c:ext>
          </c:extLst>
        </c:ser>
        <c:ser>
          <c:idx val="0"/>
          <c:order val="13"/>
          <c:tx>
            <c:strRef>
              <c:f>Perceel_5!$Y$62</c:f>
              <c:strCache>
                <c:ptCount val="1"/>
              </c:strCache>
            </c:strRef>
          </c:tx>
          <c:spPr>
            <a:solidFill>
              <a:schemeClr val="accent1"/>
            </a:solidFill>
            <a:ln>
              <a:noFill/>
            </a:ln>
            <a:effectLst/>
          </c:spPr>
          <c:invertIfNegative val="0"/>
          <c:val>
            <c:numRef>
              <c:f>Perceel_5!$Y$109</c:f>
              <c:numCache>
                <c:formatCode>General</c:formatCode>
                <c:ptCount val="1"/>
                <c:pt idx="0">
                  <c:v>0</c:v>
                </c:pt>
              </c:numCache>
            </c:numRef>
          </c:val>
          <c:extLst>
            <c:ext xmlns:c16="http://schemas.microsoft.com/office/drawing/2014/chart" uri="{C3380CC4-5D6E-409C-BE32-E72D297353CC}">
              <c16:uniqueId val="{00000007-88D9-43A1-8F49-33B5B2D1CBBB}"/>
            </c:ext>
          </c:extLst>
        </c:ser>
        <c:dLbls>
          <c:showLegendKey val="0"/>
          <c:showVal val="0"/>
          <c:showCatName val="0"/>
          <c:showSerName val="0"/>
          <c:showPercent val="0"/>
          <c:showBubbleSize val="0"/>
        </c:dLbls>
        <c:gapWidth val="150"/>
        <c:overlap val="100"/>
        <c:axId val="777525200"/>
        <c:axId val="777518000"/>
        <c:extLst>
          <c:ext xmlns:c15="http://schemas.microsoft.com/office/drawing/2012/chart" uri="{02D57815-91ED-43cb-92C2-25804820EDAC}">
            <c15:filteredBarSeries>
              <c15:ser>
                <c:idx val="13"/>
                <c:order val="0"/>
                <c:tx>
                  <c:strRef>
                    <c:extLst>
                      <c:ext uri="{02D57815-91ED-43cb-92C2-25804820EDAC}">
                        <c15:formulaRef>
                          <c15:sqref>Perceel_5!$AL$62</c15:sqref>
                        </c15:formulaRef>
                      </c:ext>
                    </c:extLst>
                    <c:strCache>
                      <c:ptCount val="1"/>
                    </c:strCache>
                  </c:strRef>
                </c:tx>
                <c:spPr>
                  <a:solidFill>
                    <a:schemeClr val="accent2">
                      <a:lumMod val="80000"/>
                      <a:lumOff val="20000"/>
                    </a:schemeClr>
                  </a:solidFill>
                  <a:ln>
                    <a:noFill/>
                  </a:ln>
                  <a:effectLst/>
                </c:spPr>
                <c:invertIfNegative val="0"/>
                <c:val>
                  <c:numRef>
                    <c:extLst>
                      <c:ext uri="{02D57815-91ED-43cb-92C2-25804820EDAC}">
                        <c15:formulaRef>
                          <c15:sqref>Perceel_5!$AL$109</c15:sqref>
                        </c15:formulaRef>
                      </c:ext>
                    </c:extLst>
                    <c:numCache>
                      <c:formatCode>General</c:formatCode>
                      <c:ptCount val="1"/>
                      <c:pt idx="0">
                        <c:v>0</c:v>
                      </c:pt>
                    </c:numCache>
                  </c:numRef>
                </c:val>
                <c:extLst>
                  <c:ext xmlns:c16="http://schemas.microsoft.com/office/drawing/2014/chart" uri="{C3380CC4-5D6E-409C-BE32-E72D297353CC}">
                    <c16:uniqueId val="{00000008-88D9-43A1-8F49-33B5B2D1CBBB}"/>
                  </c:ext>
                </c:extLst>
              </c15:ser>
            </c15:filteredBarSeries>
            <c15:filteredBarSeries>
              <c15:ser>
                <c:idx val="12"/>
                <c:order val="1"/>
                <c:tx>
                  <c:strRef>
                    <c:extLst xmlns:c15="http://schemas.microsoft.com/office/drawing/2012/chart">
                      <c:ext xmlns:c15="http://schemas.microsoft.com/office/drawing/2012/chart" uri="{02D57815-91ED-43cb-92C2-25804820EDAC}">
                        <c15:formulaRef>
                          <c15:sqref>Perceel_5!$AK$62</c15:sqref>
                        </c15:formulaRef>
                      </c:ext>
                    </c:extLst>
                    <c:strCache>
                      <c:ptCount val="1"/>
                    </c:strCache>
                  </c:strRef>
                </c:tx>
                <c:spPr>
                  <a:solidFill>
                    <a:schemeClr val="accent1">
                      <a:lumMod val="80000"/>
                      <a:lumOff val="2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Perceel_5!$AK$109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9-88D9-43A1-8F49-33B5B2D1CBBB}"/>
                  </c:ext>
                </c:extLst>
              </c15:ser>
            </c15:filteredBarSeries>
            <c15:filteredBarSeries>
              <c15:ser>
                <c:idx val="11"/>
                <c:order val="2"/>
                <c:tx>
                  <c:strRef>
                    <c:extLst xmlns:c15="http://schemas.microsoft.com/office/drawing/2012/chart">
                      <c:ext xmlns:c15="http://schemas.microsoft.com/office/drawing/2012/chart" uri="{02D57815-91ED-43cb-92C2-25804820EDAC}">
                        <c15:formulaRef>
                          <c15:sqref>Perceel_5!$AJ$62</c15:sqref>
                        </c15:formulaRef>
                      </c:ext>
                    </c:extLst>
                    <c:strCache>
                      <c:ptCount val="1"/>
                    </c:strCache>
                  </c:strRef>
                </c:tx>
                <c:spPr>
                  <a:solidFill>
                    <a:schemeClr val="accent6">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Perceel_5!$AJ$109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A-88D9-43A1-8F49-33B5B2D1CBBB}"/>
                  </c:ext>
                </c:extLst>
              </c15:ser>
            </c15:filteredBarSeries>
            <c15:filteredBarSeries>
              <c15:ser>
                <c:idx val="10"/>
                <c:order val="3"/>
                <c:tx>
                  <c:strRef>
                    <c:extLst xmlns:c15="http://schemas.microsoft.com/office/drawing/2012/chart">
                      <c:ext xmlns:c15="http://schemas.microsoft.com/office/drawing/2012/chart" uri="{02D57815-91ED-43cb-92C2-25804820EDAC}">
                        <c15:formulaRef>
                          <c15:sqref>Perceel_5!$AI$62</c15:sqref>
                        </c15:formulaRef>
                      </c:ext>
                    </c:extLst>
                    <c:strCache>
                      <c:ptCount val="1"/>
                    </c:strCache>
                  </c:strRef>
                </c:tx>
                <c:spPr>
                  <a:solidFill>
                    <a:schemeClr val="accent5">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Perceel_5!$AI$109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B-88D9-43A1-8F49-33B5B2D1CBBB}"/>
                  </c:ext>
                </c:extLst>
              </c15:ser>
            </c15:filteredBarSeries>
            <c15:filteredBarSeries>
              <c15:ser>
                <c:idx val="9"/>
                <c:order val="4"/>
                <c:tx>
                  <c:strRef>
                    <c:extLst xmlns:c15="http://schemas.microsoft.com/office/drawing/2012/chart">
                      <c:ext xmlns:c15="http://schemas.microsoft.com/office/drawing/2012/chart" uri="{02D57815-91ED-43cb-92C2-25804820EDAC}">
                        <c15:formulaRef>
                          <c15:sqref>Perceel_5!$AH$62</c15:sqref>
                        </c15:formulaRef>
                      </c:ext>
                    </c:extLst>
                    <c:strCache>
                      <c:ptCount val="1"/>
                    </c:strCache>
                  </c:strRef>
                </c:tx>
                <c:spPr>
                  <a:solidFill>
                    <a:schemeClr val="accent4">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Perceel_5!$AH$109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C-88D9-43A1-8F49-33B5B2D1CBBB}"/>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Perceel_5!$AG$62</c15:sqref>
                        </c15:formulaRef>
                      </c:ext>
                    </c:extLst>
                    <c:strCache>
                      <c:ptCount val="1"/>
                    </c:strCache>
                  </c:strRef>
                </c:tx>
                <c:spPr>
                  <a:solidFill>
                    <a:schemeClr val="accent3">
                      <a:lumMod val="60000"/>
                    </a:schemeClr>
                  </a:solidFill>
                  <a:ln>
                    <a:noFill/>
                  </a:ln>
                  <a:effectLst/>
                </c:spPr>
                <c:invertIfNegative val="0"/>
                <c:val>
                  <c:numRef>
                    <c:extLst xmlns:c15="http://schemas.microsoft.com/office/drawing/2012/chart">
                      <c:ext xmlns:c15="http://schemas.microsoft.com/office/drawing/2012/chart" uri="{02D57815-91ED-43cb-92C2-25804820EDAC}">
                        <c15:formulaRef>
                          <c15:sqref>Perceel_5!$AG$109</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D-88D9-43A1-8F49-33B5B2D1CBBB}"/>
                  </c:ext>
                </c:extLst>
              </c15:ser>
            </c15:filteredBarSeries>
          </c:ext>
        </c:extLst>
      </c:barChart>
      <c:catAx>
        <c:axId val="777525200"/>
        <c:scaling>
          <c:orientation val="minMax"/>
        </c:scaling>
        <c:delete val="1"/>
        <c:axPos val="b"/>
        <c:numFmt formatCode="General" sourceLinked="1"/>
        <c:majorTickMark val="none"/>
        <c:minorTickMark val="none"/>
        <c:tickLblPos val="nextTo"/>
        <c:crossAx val="777518000"/>
        <c:crosses val="autoZero"/>
        <c:auto val="1"/>
        <c:lblAlgn val="ctr"/>
        <c:lblOffset val="100"/>
        <c:noMultiLvlLbl val="0"/>
      </c:catAx>
      <c:valAx>
        <c:axId val="7775180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775252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Perceel_2!D2"/><Relationship Id="rId7" Type="http://schemas.openxmlformats.org/officeDocument/2006/relationships/image" Target="../media/image1.png"/><Relationship Id="rId2" Type="http://schemas.openxmlformats.org/officeDocument/2006/relationships/hyperlink" Target="#Perceel_1!D2"/><Relationship Id="rId1" Type="http://schemas.openxmlformats.org/officeDocument/2006/relationships/hyperlink" Target="#'Te gebruiken meststoffen'!B3"/><Relationship Id="rId6" Type="http://schemas.openxmlformats.org/officeDocument/2006/relationships/hyperlink" Target="#Perceel_5!D2"/><Relationship Id="rId5" Type="http://schemas.openxmlformats.org/officeDocument/2006/relationships/hyperlink" Target="#Perceel_4!D2"/><Relationship Id="rId4" Type="http://schemas.openxmlformats.org/officeDocument/2006/relationships/hyperlink" Target="#Perceel_3!D2"/></Relationships>
</file>

<file path=xl/drawings/_rels/drawing2.xml.rels><?xml version="1.0" encoding="UTF-8" standalone="yes"?>
<Relationships xmlns="http://schemas.openxmlformats.org/package/2006/relationships"><Relationship Id="rId3" Type="http://schemas.openxmlformats.org/officeDocument/2006/relationships/hyperlink" Target="#Perceel_2!D2"/><Relationship Id="rId7" Type="http://schemas.openxmlformats.org/officeDocument/2006/relationships/image" Target="../media/image1.png"/><Relationship Id="rId2" Type="http://schemas.openxmlformats.org/officeDocument/2006/relationships/hyperlink" Target="#Perceel_1!D2"/><Relationship Id="rId1" Type="http://schemas.openxmlformats.org/officeDocument/2006/relationships/hyperlink" Target="#Handleiding!A12"/><Relationship Id="rId6" Type="http://schemas.openxmlformats.org/officeDocument/2006/relationships/hyperlink" Target="#Perceel_5!D2"/><Relationship Id="rId5" Type="http://schemas.openxmlformats.org/officeDocument/2006/relationships/hyperlink" Target="#Perceel_4!D2"/><Relationship Id="rId4" Type="http://schemas.openxmlformats.org/officeDocument/2006/relationships/hyperlink" Target="#Perceel_3!D2"/></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hyperlink" Target="#'Te gebruiken meststoffen'!B3"/><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hyperlink" Target="#Handleiding!A12"/><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8.xml"/><Relationship Id="rId3" Type="http://schemas.openxmlformats.org/officeDocument/2006/relationships/chart" Target="../charts/chart13.xml"/><Relationship Id="rId7" Type="http://schemas.openxmlformats.org/officeDocument/2006/relationships/chart" Target="../charts/chart17.xml"/><Relationship Id="rId12" Type="http://schemas.openxmlformats.org/officeDocument/2006/relationships/hyperlink" Target="#'Te gebruiken meststoffen'!B3"/><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11" Type="http://schemas.openxmlformats.org/officeDocument/2006/relationships/hyperlink" Target="#Handleiding!A12"/><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s>
</file>

<file path=xl/drawings/_rels/drawing5.xml.rels><?xml version="1.0" encoding="UTF-8" standalone="yes"?>
<Relationships xmlns="http://schemas.openxmlformats.org/package/2006/relationships"><Relationship Id="rId8" Type="http://schemas.openxmlformats.org/officeDocument/2006/relationships/chart" Target="../charts/chart28.xml"/><Relationship Id="rId3" Type="http://schemas.openxmlformats.org/officeDocument/2006/relationships/chart" Target="../charts/chart23.xml"/><Relationship Id="rId7" Type="http://schemas.openxmlformats.org/officeDocument/2006/relationships/chart" Target="../charts/chart27.xml"/><Relationship Id="rId12" Type="http://schemas.openxmlformats.org/officeDocument/2006/relationships/hyperlink" Target="#'Te gebruiken meststoffen'!B3"/><Relationship Id="rId2" Type="http://schemas.openxmlformats.org/officeDocument/2006/relationships/chart" Target="../charts/chart22.xml"/><Relationship Id="rId1" Type="http://schemas.openxmlformats.org/officeDocument/2006/relationships/chart" Target="../charts/chart21.xml"/><Relationship Id="rId6" Type="http://schemas.openxmlformats.org/officeDocument/2006/relationships/chart" Target="../charts/chart26.xml"/><Relationship Id="rId11" Type="http://schemas.openxmlformats.org/officeDocument/2006/relationships/hyperlink" Target="#Handleiding!A12"/><Relationship Id="rId5" Type="http://schemas.openxmlformats.org/officeDocument/2006/relationships/chart" Target="../charts/chart25.xml"/><Relationship Id="rId10" Type="http://schemas.openxmlformats.org/officeDocument/2006/relationships/chart" Target="../charts/chart30.xml"/><Relationship Id="rId4" Type="http://schemas.openxmlformats.org/officeDocument/2006/relationships/chart" Target="../charts/chart24.xml"/><Relationship Id="rId9" Type="http://schemas.openxmlformats.org/officeDocument/2006/relationships/chart" Target="../charts/chart29.xml"/></Relationships>
</file>

<file path=xl/drawings/_rels/drawing6.xml.rels><?xml version="1.0" encoding="UTF-8" standalone="yes"?>
<Relationships xmlns="http://schemas.openxmlformats.org/package/2006/relationships"><Relationship Id="rId8" Type="http://schemas.openxmlformats.org/officeDocument/2006/relationships/chart" Target="../charts/chart38.xml"/><Relationship Id="rId3" Type="http://schemas.openxmlformats.org/officeDocument/2006/relationships/chart" Target="../charts/chart33.xml"/><Relationship Id="rId7" Type="http://schemas.openxmlformats.org/officeDocument/2006/relationships/chart" Target="../charts/chart37.xml"/><Relationship Id="rId12" Type="http://schemas.openxmlformats.org/officeDocument/2006/relationships/hyperlink" Target="#'Te gebruiken meststoffen'!B3"/><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11" Type="http://schemas.openxmlformats.org/officeDocument/2006/relationships/hyperlink" Target="#Handleiding!A12"/><Relationship Id="rId5" Type="http://schemas.openxmlformats.org/officeDocument/2006/relationships/chart" Target="../charts/chart35.xml"/><Relationship Id="rId10" Type="http://schemas.openxmlformats.org/officeDocument/2006/relationships/chart" Target="../charts/chart40.xml"/><Relationship Id="rId4" Type="http://schemas.openxmlformats.org/officeDocument/2006/relationships/chart" Target="../charts/chart34.xml"/><Relationship Id="rId9" Type="http://schemas.openxmlformats.org/officeDocument/2006/relationships/chart" Target="../charts/chart3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48.xml"/><Relationship Id="rId3" Type="http://schemas.openxmlformats.org/officeDocument/2006/relationships/chart" Target="../charts/chart43.xml"/><Relationship Id="rId7" Type="http://schemas.openxmlformats.org/officeDocument/2006/relationships/chart" Target="../charts/chart47.xml"/><Relationship Id="rId12" Type="http://schemas.openxmlformats.org/officeDocument/2006/relationships/hyperlink" Target="#'Te gebruiken meststoffen'!B3"/><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11" Type="http://schemas.openxmlformats.org/officeDocument/2006/relationships/hyperlink" Target="#Handleiding!A12"/><Relationship Id="rId5" Type="http://schemas.openxmlformats.org/officeDocument/2006/relationships/chart" Target="../charts/chart45.xml"/><Relationship Id="rId10" Type="http://schemas.openxmlformats.org/officeDocument/2006/relationships/chart" Target="../charts/chart50.xml"/><Relationship Id="rId4" Type="http://schemas.openxmlformats.org/officeDocument/2006/relationships/chart" Target="../charts/chart44.xml"/><Relationship Id="rId9" Type="http://schemas.openxmlformats.org/officeDocument/2006/relationships/chart" Target="../charts/chart49.xml"/></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53340</xdr:colOff>
      <xdr:row>22</xdr:row>
      <xdr:rowOff>38100</xdr:rowOff>
    </xdr:from>
    <xdr:to>
      <xdr:col>2</xdr:col>
      <xdr:colOff>548640</xdr:colOff>
      <xdr:row>23</xdr:row>
      <xdr:rowOff>144780</xdr:rowOff>
    </xdr:to>
    <xdr:sp macro="" textlink="">
      <xdr:nvSpPr>
        <xdr:cNvPr id="4" name="Rechthoek: schuine rand 3">
          <a:hlinkClick xmlns:r="http://schemas.openxmlformats.org/officeDocument/2006/relationships" r:id="rId1"/>
          <a:extLst>
            <a:ext uri="{FF2B5EF4-FFF2-40B4-BE49-F238E27FC236}">
              <a16:creationId xmlns:a16="http://schemas.microsoft.com/office/drawing/2014/main" id="{7573175E-4FED-C783-E41A-2093DF19B4B5}"/>
            </a:ext>
          </a:extLst>
        </xdr:cNvPr>
        <xdr:cNvSpPr/>
      </xdr:nvSpPr>
      <xdr:spPr>
        <a:xfrm>
          <a:off x="53340" y="4069080"/>
          <a:ext cx="171450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Te gebruiken meststoffen</a:t>
          </a:r>
        </a:p>
      </xdr:txBody>
    </xdr:sp>
    <xdr:clientData/>
  </xdr:twoCellAnchor>
  <xdr:twoCellAnchor>
    <xdr:from>
      <xdr:col>0</xdr:col>
      <xdr:colOff>45720</xdr:colOff>
      <xdr:row>28</xdr:row>
      <xdr:rowOff>22860</xdr:rowOff>
    </xdr:from>
    <xdr:to>
      <xdr:col>1</xdr:col>
      <xdr:colOff>259080</xdr:colOff>
      <xdr:row>29</xdr:row>
      <xdr:rowOff>129540</xdr:rowOff>
    </xdr:to>
    <xdr:sp macro="" textlink="">
      <xdr:nvSpPr>
        <xdr:cNvPr id="5" name="Rechthoek: schuine rand 4">
          <a:hlinkClick xmlns:r="http://schemas.openxmlformats.org/officeDocument/2006/relationships" r:id="rId2"/>
          <a:extLst>
            <a:ext uri="{FF2B5EF4-FFF2-40B4-BE49-F238E27FC236}">
              <a16:creationId xmlns:a16="http://schemas.microsoft.com/office/drawing/2014/main" id="{303AD7A8-D31F-43F9-9463-788682BED773}"/>
            </a:ext>
          </a:extLst>
        </xdr:cNvPr>
        <xdr:cNvSpPr/>
      </xdr:nvSpPr>
      <xdr:spPr>
        <a:xfrm>
          <a:off x="45720" y="4968240"/>
          <a:ext cx="82296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Perceel_1</a:t>
          </a:r>
        </a:p>
      </xdr:txBody>
    </xdr:sp>
    <xdr:clientData/>
  </xdr:twoCellAnchor>
  <xdr:twoCellAnchor>
    <xdr:from>
      <xdr:col>1</xdr:col>
      <xdr:colOff>320040</xdr:colOff>
      <xdr:row>28</xdr:row>
      <xdr:rowOff>22860</xdr:rowOff>
    </xdr:from>
    <xdr:to>
      <xdr:col>2</xdr:col>
      <xdr:colOff>533400</xdr:colOff>
      <xdr:row>29</xdr:row>
      <xdr:rowOff>129540</xdr:rowOff>
    </xdr:to>
    <xdr:sp macro="" textlink="">
      <xdr:nvSpPr>
        <xdr:cNvPr id="6" name="Rechthoek: schuine rand 5">
          <a:hlinkClick xmlns:r="http://schemas.openxmlformats.org/officeDocument/2006/relationships" r:id="rId3"/>
          <a:extLst>
            <a:ext uri="{FF2B5EF4-FFF2-40B4-BE49-F238E27FC236}">
              <a16:creationId xmlns:a16="http://schemas.microsoft.com/office/drawing/2014/main" id="{8C893B90-074D-45A6-8B19-424357304DCA}"/>
            </a:ext>
          </a:extLst>
        </xdr:cNvPr>
        <xdr:cNvSpPr/>
      </xdr:nvSpPr>
      <xdr:spPr>
        <a:xfrm>
          <a:off x="929640" y="4968240"/>
          <a:ext cx="82296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Perceel_2</a:t>
          </a:r>
        </a:p>
      </xdr:txBody>
    </xdr:sp>
    <xdr:clientData/>
  </xdr:twoCellAnchor>
  <xdr:twoCellAnchor>
    <xdr:from>
      <xdr:col>2</xdr:col>
      <xdr:colOff>594360</xdr:colOff>
      <xdr:row>28</xdr:row>
      <xdr:rowOff>22860</xdr:rowOff>
    </xdr:from>
    <xdr:to>
      <xdr:col>4</xdr:col>
      <xdr:colOff>198120</xdr:colOff>
      <xdr:row>29</xdr:row>
      <xdr:rowOff>129540</xdr:rowOff>
    </xdr:to>
    <xdr:sp macro="" textlink="">
      <xdr:nvSpPr>
        <xdr:cNvPr id="7" name="Rechthoek: schuine rand 6">
          <a:hlinkClick xmlns:r="http://schemas.openxmlformats.org/officeDocument/2006/relationships" r:id="rId4"/>
          <a:extLst>
            <a:ext uri="{FF2B5EF4-FFF2-40B4-BE49-F238E27FC236}">
              <a16:creationId xmlns:a16="http://schemas.microsoft.com/office/drawing/2014/main" id="{E72FEF16-FA75-4E3D-AB98-D4AF78F96E48}"/>
            </a:ext>
          </a:extLst>
        </xdr:cNvPr>
        <xdr:cNvSpPr/>
      </xdr:nvSpPr>
      <xdr:spPr>
        <a:xfrm>
          <a:off x="1813560" y="4968240"/>
          <a:ext cx="82296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Perceel_3</a:t>
          </a:r>
        </a:p>
      </xdr:txBody>
    </xdr:sp>
    <xdr:clientData/>
  </xdr:twoCellAnchor>
  <xdr:twoCellAnchor>
    <xdr:from>
      <xdr:col>4</xdr:col>
      <xdr:colOff>259080</xdr:colOff>
      <xdr:row>28</xdr:row>
      <xdr:rowOff>22860</xdr:rowOff>
    </xdr:from>
    <xdr:to>
      <xdr:col>5</xdr:col>
      <xdr:colOff>472440</xdr:colOff>
      <xdr:row>29</xdr:row>
      <xdr:rowOff>129540</xdr:rowOff>
    </xdr:to>
    <xdr:sp macro="" textlink="">
      <xdr:nvSpPr>
        <xdr:cNvPr id="8" name="Rechthoek: schuine rand 7">
          <a:hlinkClick xmlns:r="http://schemas.openxmlformats.org/officeDocument/2006/relationships" r:id="rId5"/>
          <a:extLst>
            <a:ext uri="{FF2B5EF4-FFF2-40B4-BE49-F238E27FC236}">
              <a16:creationId xmlns:a16="http://schemas.microsoft.com/office/drawing/2014/main" id="{89CC0416-D96C-4C84-AA0E-779A2AA9973D}"/>
            </a:ext>
          </a:extLst>
        </xdr:cNvPr>
        <xdr:cNvSpPr/>
      </xdr:nvSpPr>
      <xdr:spPr>
        <a:xfrm>
          <a:off x="2697480" y="4968240"/>
          <a:ext cx="82296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Perceel_4</a:t>
          </a:r>
        </a:p>
      </xdr:txBody>
    </xdr:sp>
    <xdr:clientData/>
  </xdr:twoCellAnchor>
  <xdr:twoCellAnchor>
    <xdr:from>
      <xdr:col>5</xdr:col>
      <xdr:colOff>533400</xdr:colOff>
      <xdr:row>28</xdr:row>
      <xdr:rowOff>22860</xdr:rowOff>
    </xdr:from>
    <xdr:to>
      <xdr:col>7</xdr:col>
      <xdr:colOff>137160</xdr:colOff>
      <xdr:row>29</xdr:row>
      <xdr:rowOff>129540</xdr:rowOff>
    </xdr:to>
    <xdr:sp macro="" textlink="">
      <xdr:nvSpPr>
        <xdr:cNvPr id="9" name="Rechthoek: schuine rand 8">
          <a:hlinkClick xmlns:r="http://schemas.openxmlformats.org/officeDocument/2006/relationships" r:id="rId6"/>
          <a:extLst>
            <a:ext uri="{FF2B5EF4-FFF2-40B4-BE49-F238E27FC236}">
              <a16:creationId xmlns:a16="http://schemas.microsoft.com/office/drawing/2014/main" id="{58932EE2-D655-4757-B475-8F4A73513672}"/>
            </a:ext>
          </a:extLst>
        </xdr:cNvPr>
        <xdr:cNvSpPr/>
      </xdr:nvSpPr>
      <xdr:spPr>
        <a:xfrm>
          <a:off x="3581400" y="4968240"/>
          <a:ext cx="82296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Perceel_5</a:t>
          </a:r>
        </a:p>
      </xdr:txBody>
    </xdr:sp>
    <xdr:clientData/>
  </xdr:twoCellAnchor>
  <xdr:twoCellAnchor editAs="oneCell">
    <xdr:from>
      <xdr:col>0</xdr:col>
      <xdr:colOff>0</xdr:colOff>
      <xdr:row>48</xdr:row>
      <xdr:rowOff>15240</xdr:rowOff>
    </xdr:from>
    <xdr:to>
      <xdr:col>14</xdr:col>
      <xdr:colOff>579910</xdr:colOff>
      <xdr:row>54</xdr:row>
      <xdr:rowOff>21432</xdr:rowOff>
    </xdr:to>
    <xdr:pic>
      <xdr:nvPicPr>
        <xdr:cNvPr id="13" name="Afbeelding 12">
          <a:extLst>
            <a:ext uri="{FF2B5EF4-FFF2-40B4-BE49-F238E27FC236}">
              <a16:creationId xmlns:a16="http://schemas.microsoft.com/office/drawing/2014/main" id="{67DB5388-65E6-4183-FD19-0EAA69D0D1CF}"/>
            </a:ext>
          </a:extLst>
        </xdr:cNvPr>
        <xdr:cNvPicPr>
          <a:picLocks noChangeAspect="1"/>
        </xdr:cNvPicPr>
      </xdr:nvPicPr>
      <xdr:blipFill>
        <a:blip xmlns:r="http://schemas.openxmlformats.org/officeDocument/2006/relationships" r:embed="rId7"/>
        <a:stretch>
          <a:fillRect/>
        </a:stretch>
      </xdr:blipFill>
      <xdr:spPr>
        <a:xfrm>
          <a:off x="0" y="8801100"/>
          <a:ext cx="9114310" cy="1103472"/>
        </a:xfrm>
        <a:prstGeom prst="rect">
          <a:avLst/>
        </a:prstGeom>
      </xdr:spPr>
    </xdr:pic>
    <xdr:clientData/>
  </xdr:twoCellAnchor>
  <xdr:twoCellAnchor editAs="oneCell">
    <xdr:from>
      <xdr:col>0</xdr:col>
      <xdr:colOff>0</xdr:colOff>
      <xdr:row>0</xdr:row>
      <xdr:rowOff>0</xdr:rowOff>
    </xdr:from>
    <xdr:to>
      <xdr:col>14</xdr:col>
      <xdr:colOff>579910</xdr:colOff>
      <xdr:row>6</xdr:row>
      <xdr:rowOff>6192</xdr:rowOff>
    </xdr:to>
    <xdr:pic>
      <xdr:nvPicPr>
        <xdr:cNvPr id="14" name="Afbeelding 13">
          <a:extLst>
            <a:ext uri="{FF2B5EF4-FFF2-40B4-BE49-F238E27FC236}">
              <a16:creationId xmlns:a16="http://schemas.microsoft.com/office/drawing/2014/main" id="{CD716763-489B-4563-9962-6DE203170AD5}"/>
            </a:ext>
          </a:extLst>
        </xdr:cNvPr>
        <xdr:cNvPicPr>
          <a:picLocks noChangeAspect="1"/>
        </xdr:cNvPicPr>
      </xdr:nvPicPr>
      <xdr:blipFill>
        <a:blip xmlns:r="http://schemas.openxmlformats.org/officeDocument/2006/relationships" r:embed="rId7"/>
        <a:stretch>
          <a:fillRect/>
        </a:stretch>
      </xdr:blipFill>
      <xdr:spPr>
        <a:xfrm>
          <a:off x="0" y="0"/>
          <a:ext cx="9114310" cy="11034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34</xdr:col>
      <xdr:colOff>160020</xdr:colOff>
      <xdr:row>0</xdr:row>
      <xdr:rowOff>106680</xdr:rowOff>
    </xdr:from>
    <xdr:to>
      <xdr:col>35</xdr:col>
      <xdr:colOff>510540</xdr:colOff>
      <xdr:row>1</xdr:row>
      <xdr:rowOff>160020</xdr:rowOff>
    </xdr:to>
    <xdr:sp macro="" textlink="">
      <xdr:nvSpPr>
        <xdr:cNvPr id="4" name="Rechthoek: schuine rand 3">
          <a:hlinkClick xmlns:r="http://schemas.openxmlformats.org/officeDocument/2006/relationships" r:id="rId1"/>
          <a:extLst>
            <a:ext uri="{FF2B5EF4-FFF2-40B4-BE49-F238E27FC236}">
              <a16:creationId xmlns:a16="http://schemas.microsoft.com/office/drawing/2014/main" id="{EB83248A-B858-4301-BBDF-202BAC496440}"/>
            </a:ext>
          </a:extLst>
        </xdr:cNvPr>
        <xdr:cNvSpPr/>
      </xdr:nvSpPr>
      <xdr:spPr>
        <a:xfrm>
          <a:off x="11407140" y="106680"/>
          <a:ext cx="96012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Handleiding</a:t>
          </a:r>
        </a:p>
      </xdr:txBody>
    </xdr:sp>
    <xdr:clientData/>
  </xdr:twoCellAnchor>
  <xdr:twoCellAnchor>
    <xdr:from>
      <xdr:col>34</xdr:col>
      <xdr:colOff>175260</xdr:colOff>
      <xdr:row>1</xdr:row>
      <xdr:rowOff>213360</xdr:rowOff>
    </xdr:from>
    <xdr:to>
      <xdr:col>35</xdr:col>
      <xdr:colOff>502920</xdr:colOff>
      <xdr:row>3</xdr:row>
      <xdr:rowOff>68580</xdr:rowOff>
    </xdr:to>
    <xdr:sp macro="" textlink="">
      <xdr:nvSpPr>
        <xdr:cNvPr id="5" name="Rechthoek: schuine rand 4">
          <a:hlinkClick xmlns:r="http://schemas.openxmlformats.org/officeDocument/2006/relationships" r:id="rId2"/>
          <a:extLst>
            <a:ext uri="{FF2B5EF4-FFF2-40B4-BE49-F238E27FC236}">
              <a16:creationId xmlns:a16="http://schemas.microsoft.com/office/drawing/2014/main" id="{C126C2CC-F530-442F-AE76-A311933186A7}"/>
            </a:ext>
          </a:extLst>
        </xdr:cNvPr>
        <xdr:cNvSpPr/>
      </xdr:nvSpPr>
      <xdr:spPr>
        <a:xfrm>
          <a:off x="11422380" y="449580"/>
          <a:ext cx="93726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nl-BE" sz="1100"/>
            <a:t>Perceel_1</a:t>
          </a:r>
        </a:p>
      </xdr:txBody>
    </xdr:sp>
    <xdr:clientData/>
  </xdr:twoCellAnchor>
  <xdr:twoCellAnchor>
    <xdr:from>
      <xdr:col>34</xdr:col>
      <xdr:colOff>182880</xdr:colOff>
      <xdr:row>3</xdr:row>
      <xdr:rowOff>121920</xdr:rowOff>
    </xdr:from>
    <xdr:to>
      <xdr:col>35</xdr:col>
      <xdr:colOff>510540</xdr:colOff>
      <xdr:row>5</xdr:row>
      <xdr:rowOff>38100</xdr:rowOff>
    </xdr:to>
    <xdr:sp macro="" textlink="">
      <xdr:nvSpPr>
        <xdr:cNvPr id="6" name="Rechthoek: schuine rand 5">
          <a:hlinkClick xmlns:r="http://schemas.openxmlformats.org/officeDocument/2006/relationships" r:id="rId3"/>
          <a:extLst>
            <a:ext uri="{FF2B5EF4-FFF2-40B4-BE49-F238E27FC236}">
              <a16:creationId xmlns:a16="http://schemas.microsoft.com/office/drawing/2014/main" id="{C66FCC0C-F3AE-4E7B-AA0C-B5618A3A3C71}"/>
            </a:ext>
          </a:extLst>
        </xdr:cNvPr>
        <xdr:cNvSpPr/>
      </xdr:nvSpPr>
      <xdr:spPr>
        <a:xfrm>
          <a:off x="11430000" y="792480"/>
          <a:ext cx="93726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nl-BE" sz="1100"/>
            <a:t>Perceel_2</a:t>
          </a:r>
        </a:p>
      </xdr:txBody>
    </xdr:sp>
    <xdr:clientData/>
  </xdr:twoCellAnchor>
  <xdr:twoCellAnchor>
    <xdr:from>
      <xdr:col>34</xdr:col>
      <xdr:colOff>190500</xdr:colOff>
      <xdr:row>5</xdr:row>
      <xdr:rowOff>83820</xdr:rowOff>
    </xdr:from>
    <xdr:to>
      <xdr:col>35</xdr:col>
      <xdr:colOff>518160</xdr:colOff>
      <xdr:row>6</xdr:row>
      <xdr:rowOff>182880</xdr:rowOff>
    </xdr:to>
    <xdr:sp macro="" textlink="">
      <xdr:nvSpPr>
        <xdr:cNvPr id="7" name="Rechthoek: schuine rand 6">
          <a:hlinkClick xmlns:r="http://schemas.openxmlformats.org/officeDocument/2006/relationships" r:id="rId4"/>
          <a:extLst>
            <a:ext uri="{FF2B5EF4-FFF2-40B4-BE49-F238E27FC236}">
              <a16:creationId xmlns:a16="http://schemas.microsoft.com/office/drawing/2014/main" id="{11CE9FCD-117B-4B0B-A775-22218D1FFCEF}"/>
            </a:ext>
          </a:extLst>
        </xdr:cNvPr>
        <xdr:cNvSpPr/>
      </xdr:nvSpPr>
      <xdr:spPr>
        <a:xfrm>
          <a:off x="11437620" y="1127760"/>
          <a:ext cx="93726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nl-BE" sz="1100"/>
            <a:t>Perceel_3</a:t>
          </a:r>
        </a:p>
      </xdr:txBody>
    </xdr:sp>
    <xdr:clientData/>
  </xdr:twoCellAnchor>
  <xdr:twoCellAnchor>
    <xdr:from>
      <xdr:col>34</xdr:col>
      <xdr:colOff>182880</xdr:colOff>
      <xdr:row>7</xdr:row>
      <xdr:rowOff>45720</xdr:rowOff>
    </xdr:from>
    <xdr:to>
      <xdr:col>35</xdr:col>
      <xdr:colOff>510540</xdr:colOff>
      <xdr:row>8</xdr:row>
      <xdr:rowOff>83820</xdr:rowOff>
    </xdr:to>
    <xdr:sp macro="" textlink="">
      <xdr:nvSpPr>
        <xdr:cNvPr id="8" name="Rechthoek: schuine rand 7">
          <a:hlinkClick xmlns:r="http://schemas.openxmlformats.org/officeDocument/2006/relationships" r:id="rId5"/>
          <a:extLst>
            <a:ext uri="{FF2B5EF4-FFF2-40B4-BE49-F238E27FC236}">
              <a16:creationId xmlns:a16="http://schemas.microsoft.com/office/drawing/2014/main" id="{3A8E0F89-73A4-4852-A303-9516D886C267}"/>
            </a:ext>
          </a:extLst>
        </xdr:cNvPr>
        <xdr:cNvSpPr/>
      </xdr:nvSpPr>
      <xdr:spPr>
        <a:xfrm>
          <a:off x="11430000" y="1470660"/>
          <a:ext cx="93726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nl-BE" sz="1100"/>
            <a:t>Perceel_4</a:t>
          </a:r>
        </a:p>
      </xdr:txBody>
    </xdr:sp>
    <xdr:clientData/>
  </xdr:twoCellAnchor>
  <xdr:twoCellAnchor>
    <xdr:from>
      <xdr:col>34</xdr:col>
      <xdr:colOff>190500</xdr:colOff>
      <xdr:row>8</xdr:row>
      <xdr:rowOff>137160</xdr:rowOff>
    </xdr:from>
    <xdr:to>
      <xdr:col>35</xdr:col>
      <xdr:colOff>518160</xdr:colOff>
      <xdr:row>10</xdr:row>
      <xdr:rowOff>60960</xdr:rowOff>
    </xdr:to>
    <xdr:sp macro="" textlink="">
      <xdr:nvSpPr>
        <xdr:cNvPr id="9" name="Rechthoek: schuine rand 8">
          <a:hlinkClick xmlns:r="http://schemas.openxmlformats.org/officeDocument/2006/relationships" r:id="rId6"/>
          <a:extLst>
            <a:ext uri="{FF2B5EF4-FFF2-40B4-BE49-F238E27FC236}">
              <a16:creationId xmlns:a16="http://schemas.microsoft.com/office/drawing/2014/main" id="{FFBFCE03-16CA-499D-B30F-26CFBA7F6DC9}"/>
            </a:ext>
          </a:extLst>
        </xdr:cNvPr>
        <xdr:cNvSpPr/>
      </xdr:nvSpPr>
      <xdr:spPr>
        <a:xfrm>
          <a:off x="11437620" y="1813560"/>
          <a:ext cx="93726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nl-BE" sz="1100"/>
            <a:t>Perceel_5</a:t>
          </a:r>
        </a:p>
      </xdr:txBody>
    </xdr:sp>
    <xdr:clientData/>
  </xdr:twoCellAnchor>
  <xdr:twoCellAnchor editAs="oneCell">
    <xdr:from>
      <xdr:col>0</xdr:col>
      <xdr:colOff>0</xdr:colOff>
      <xdr:row>48</xdr:row>
      <xdr:rowOff>7620</xdr:rowOff>
    </xdr:from>
    <xdr:to>
      <xdr:col>10</xdr:col>
      <xdr:colOff>708660</xdr:colOff>
      <xdr:row>55</xdr:row>
      <xdr:rowOff>86384</xdr:rowOff>
    </xdr:to>
    <xdr:pic>
      <xdr:nvPicPr>
        <xdr:cNvPr id="2" name="Afbeelding 1">
          <a:extLst>
            <a:ext uri="{FF2B5EF4-FFF2-40B4-BE49-F238E27FC236}">
              <a16:creationId xmlns:a16="http://schemas.microsoft.com/office/drawing/2014/main" id="{1C51452A-B2FB-4110-B500-FE9D4BAB20B6}"/>
            </a:ext>
          </a:extLst>
        </xdr:cNvPr>
        <xdr:cNvPicPr>
          <a:picLocks noChangeAspect="1"/>
        </xdr:cNvPicPr>
      </xdr:nvPicPr>
      <xdr:blipFill>
        <a:blip xmlns:r="http://schemas.openxmlformats.org/officeDocument/2006/relationships" r:embed="rId7"/>
        <a:stretch>
          <a:fillRect/>
        </a:stretch>
      </xdr:blipFill>
      <xdr:spPr>
        <a:xfrm>
          <a:off x="0" y="9608820"/>
          <a:ext cx="11224260" cy="13589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8066</xdr:colOff>
      <xdr:row>153</xdr:row>
      <xdr:rowOff>13674</xdr:rowOff>
    </xdr:from>
    <xdr:to>
      <xdr:col>7</xdr:col>
      <xdr:colOff>67236</xdr:colOff>
      <xdr:row>172</xdr:row>
      <xdr:rowOff>74859</xdr:rowOff>
    </xdr:to>
    <xdr:graphicFrame macro="">
      <xdr:nvGraphicFramePr>
        <xdr:cNvPr id="2" name="Grafiek 1">
          <a:extLst>
            <a:ext uri="{FF2B5EF4-FFF2-40B4-BE49-F238E27FC236}">
              <a16:creationId xmlns:a16="http://schemas.microsoft.com/office/drawing/2014/main" id="{60F7BEE2-E70B-4A42-AD71-34CA9A82C9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380998</xdr:colOff>
      <xdr:row>153</xdr:row>
      <xdr:rowOff>20844</xdr:rowOff>
    </xdr:from>
    <xdr:to>
      <xdr:col>12</xdr:col>
      <xdr:colOff>1187822</xdr:colOff>
      <xdr:row>172</xdr:row>
      <xdr:rowOff>70374</xdr:rowOff>
    </xdr:to>
    <xdr:graphicFrame macro="">
      <xdr:nvGraphicFramePr>
        <xdr:cNvPr id="3" name="Grafiek 2">
          <a:extLst>
            <a:ext uri="{FF2B5EF4-FFF2-40B4-BE49-F238E27FC236}">
              <a16:creationId xmlns:a16="http://schemas.microsoft.com/office/drawing/2014/main" id="{5D636F8D-78E5-4264-8DD0-376C7CAA66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172</xdr:row>
      <xdr:rowOff>106458</xdr:rowOff>
    </xdr:from>
    <xdr:to>
      <xdr:col>7</xdr:col>
      <xdr:colOff>89647</xdr:colOff>
      <xdr:row>191</xdr:row>
      <xdr:rowOff>72169</xdr:rowOff>
    </xdr:to>
    <xdr:graphicFrame macro="">
      <xdr:nvGraphicFramePr>
        <xdr:cNvPr id="4" name="Grafiek 3">
          <a:extLst>
            <a:ext uri="{FF2B5EF4-FFF2-40B4-BE49-F238E27FC236}">
              <a16:creationId xmlns:a16="http://schemas.microsoft.com/office/drawing/2014/main" id="{7DC1BDE0-2CB8-423D-B58C-83699ADDEA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791584</xdr:colOff>
      <xdr:row>191</xdr:row>
      <xdr:rowOff>100630</xdr:rowOff>
    </xdr:from>
    <xdr:to>
      <xdr:col>7</xdr:col>
      <xdr:colOff>112059</xdr:colOff>
      <xdr:row>208</xdr:row>
      <xdr:rowOff>169434</xdr:rowOff>
    </xdr:to>
    <xdr:graphicFrame macro="">
      <xdr:nvGraphicFramePr>
        <xdr:cNvPr id="6" name="Grafiek 5">
          <a:extLst>
            <a:ext uri="{FF2B5EF4-FFF2-40B4-BE49-F238E27FC236}">
              <a16:creationId xmlns:a16="http://schemas.microsoft.com/office/drawing/2014/main" id="{5232BC51-DF49-4B60-B752-400BAE088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369794</xdr:colOff>
      <xdr:row>191</xdr:row>
      <xdr:rowOff>86510</xdr:rowOff>
    </xdr:from>
    <xdr:to>
      <xdr:col>12</xdr:col>
      <xdr:colOff>1355912</xdr:colOff>
      <xdr:row>208</xdr:row>
      <xdr:rowOff>158900</xdr:rowOff>
    </xdr:to>
    <xdr:graphicFrame macro="">
      <xdr:nvGraphicFramePr>
        <xdr:cNvPr id="7" name="Grafiek 6">
          <a:extLst>
            <a:ext uri="{FF2B5EF4-FFF2-40B4-BE49-F238E27FC236}">
              <a16:creationId xmlns:a16="http://schemas.microsoft.com/office/drawing/2014/main" id="{529DE7B4-1F6C-4DCE-95E6-36C04C9529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78441</xdr:colOff>
      <xdr:row>191</xdr:row>
      <xdr:rowOff>116542</xdr:rowOff>
    </xdr:from>
    <xdr:to>
      <xdr:col>23</xdr:col>
      <xdr:colOff>2095500</xdr:colOff>
      <xdr:row>209</xdr:row>
      <xdr:rowOff>9638</xdr:rowOff>
    </xdr:to>
    <xdr:graphicFrame macro="">
      <xdr:nvGraphicFramePr>
        <xdr:cNvPr id="8" name="Grafiek 7">
          <a:extLst>
            <a:ext uri="{FF2B5EF4-FFF2-40B4-BE49-F238E27FC236}">
              <a16:creationId xmlns:a16="http://schemas.microsoft.com/office/drawing/2014/main" id="{82DFD46F-7A15-4617-9D60-45E5CE1D9C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746348</xdr:colOff>
      <xdr:row>209</xdr:row>
      <xdr:rowOff>67273</xdr:rowOff>
    </xdr:from>
    <xdr:to>
      <xdr:col>7</xdr:col>
      <xdr:colOff>26262</xdr:colOff>
      <xdr:row>226</xdr:row>
      <xdr:rowOff>141797</xdr:rowOff>
    </xdr:to>
    <xdr:graphicFrame macro="">
      <xdr:nvGraphicFramePr>
        <xdr:cNvPr id="9" name="Grafiek 8">
          <a:extLst>
            <a:ext uri="{FF2B5EF4-FFF2-40B4-BE49-F238E27FC236}">
              <a16:creationId xmlns:a16="http://schemas.microsoft.com/office/drawing/2014/main" id="{91CAE4AF-8BD4-4E47-BB91-A39767762A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393806</xdr:colOff>
      <xdr:row>209</xdr:row>
      <xdr:rowOff>73105</xdr:rowOff>
    </xdr:from>
    <xdr:to>
      <xdr:col>12</xdr:col>
      <xdr:colOff>1354667</xdr:colOff>
      <xdr:row>226</xdr:row>
      <xdr:rowOff>147629</xdr:rowOff>
    </xdr:to>
    <xdr:graphicFrame macro="">
      <xdr:nvGraphicFramePr>
        <xdr:cNvPr id="10" name="Grafiek 9">
          <a:extLst>
            <a:ext uri="{FF2B5EF4-FFF2-40B4-BE49-F238E27FC236}">
              <a16:creationId xmlns:a16="http://schemas.microsoft.com/office/drawing/2014/main" id="{6FEE487C-8A82-4050-B882-4F1D7B02A1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130203</xdr:colOff>
      <xdr:row>209</xdr:row>
      <xdr:rowOff>133582</xdr:rowOff>
    </xdr:from>
    <xdr:to>
      <xdr:col>23</xdr:col>
      <xdr:colOff>2007810</xdr:colOff>
      <xdr:row>227</xdr:row>
      <xdr:rowOff>26677</xdr:rowOff>
    </xdr:to>
    <xdr:graphicFrame macro="">
      <xdr:nvGraphicFramePr>
        <xdr:cNvPr id="11" name="Grafiek 10">
          <a:extLst>
            <a:ext uri="{FF2B5EF4-FFF2-40B4-BE49-F238E27FC236}">
              <a16:creationId xmlns:a16="http://schemas.microsoft.com/office/drawing/2014/main" id="{823F2CAA-8512-4241-88E0-4DCF93E7D0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107463</xdr:colOff>
      <xdr:row>153</xdr:row>
      <xdr:rowOff>5859</xdr:rowOff>
    </xdr:from>
    <xdr:to>
      <xdr:col>21</xdr:col>
      <xdr:colOff>1787771</xdr:colOff>
      <xdr:row>173</xdr:row>
      <xdr:rowOff>108856</xdr:rowOff>
    </xdr:to>
    <xdr:graphicFrame macro="">
      <xdr:nvGraphicFramePr>
        <xdr:cNvPr id="13" name="Grafiek 12">
          <a:extLst>
            <a:ext uri="{FF2B5EF4-FFF2-40B4-BE49-F238E27FC236}">
              <a16:creationId xmlns:a16="http://schemas.microsoft.com/office/drawing/2014/main" id="{935B21AF-FA39-F756-8D6F-D4E381DB6A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139700</xdr:colOff>
      <xdr:row>0</xdr:row>
      <xdr:rowOff>76200</xdr:rowOff>
    </xdr:from>
    <xdr:to>
      <xdr:col>4</xdr:col>
      <xdr:colOff>1099820</xdr:colOff>
      <xdr:row>1</xdr:row>
      <xdr:rowOff>124460</xdr:rowOff>
    </xdr:to>
    <xdr:sp macro="" textlink="">
      <xdr:nvSpPr>
        <xdr:cNvPr id="5" name="Rechthoek: schuine rand 4">
          <a:hlinkClick xmlns:r="http://schemas.openxmlformats.org/officeDocument/2006/relationships" r:id="rId11"/>
          <a:extLst>
            <a:ext uri="{FF2B5EF4-FFF2-40B4-BE49-F238E27FC236}">
              <a16:creationId xmlns:a16="http://schemas.microsoft.com/office/drawing/2014/main" id="{7519DA01-F783-4A68-BDD7-DCBF65D7E4CC}"/>
            </a:ext>
          </a:extLst>
        </xdr:cNvPr>
        <xdr:cNvSpPr/>
      </xdr:nvSpPr>
      <xdr:spPr>
        <a:xfrm>
          <a:off x="5041900" y="76200"/>
          <a:ext cx="96012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Handleiding</a:t>
          </a:r>
        </a:p>
      </xdr:txBody>
    </xdr:sp>
    <xdr:clientData/>
  </xdr:twoCellAnchor>
  <xdr:twoCellAnchor>
    <xdr:from>
      <xdr:col>4</xdr:col>
      <xdr:colOff>1244600</xdr:colOff>
      <xdr:row>0</xdr:row>
      <xdr:rowOff>76200</xdr:rowOff>
    </xdr:from>
    <xdr:to>
      <xdr:col>5</xdr:col>
      <xdr:colOff>1143000</xdr:colOff>
      <xdr:row>1</xdr:row>
      <xdr:rowOff>124460</xdr:rowOff>
    </xdr:to>
    <xdr:sp macro="" textlink="">
      <xdr:nvSpPr>
        <xdr:cNvPr id="12" name="Rechthoek: schuine rand 11">
          <a:hlinkClick xmlns:r="http://schemas.openxmlformats.org/officeDocument/2006/relationships" r:id="rId12"/>
          <a:extLst>
            <a:ext uri="{FF2B5EF4-FFF2-40B4-BE49-F238E27FC236}">
              <a16:creationId xmlns:a16="http://schemas.microsoft.com/office/drawing/2014/main" id="{09E93407-E4A9-4FE7-84DA-DD1B2B3CF0CD}"/>
            </a:ext>
          </a:extLst>
        </xdr:cNvPr>
        <xdr:cNvSpPr/>
      </xdr:nvSpPr>
      <xdr:spPr>
        <a:xfrm>
          <a:off x="6146800" y="76200"/>
          <a:ext cx="1714500" cy="28956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Te gebruiken meststoffen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8066</xdr:colOff>
      <xdr:row>153</xdr:row>
      <xdr:rowOff>13674</xdr:rowOff>
    </xdr:from>
    <xdr:to>
      <xdr:col>7</xdr:col>
      <xdr:colOff>67236</xdr:colOff>
      <xdr:row>172</xdr:row>
      <xdr:rowOff>74859</xdr:rowOff>
    </xdr:to>
    <xdr:graphicFrame macro="">
      <xdr:nvGraphicFramePr>
        <xdr:cNvPr id="2" name="Grafiek 1">
          <a:extLst>
            <a:ext uri="{FF2B5EF4-FFF2-40B4-BE49-F238E27FC236}">
              <a16:creationId xmlns:a16="http://schemas.microsoft.com/office/drawing/2014/main" id="{5F31311E-0AB3-4EA7-A071-993840A1EA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380998</xdr:colOff>
      <xdr:row>153</xdr:row>
      <xdr:rowOff>20844</xdr:rowOff>
    </xdr:from>
    <xdr:to>
      <xdr:col>12</xdr:col>
      <xdr:colOff>1187822</xdr:colOff>
      <xdr:row>172</xdr:row>
      <xdr:rowOff>70374</xdr:rowOff>
    </xdr:to>
    <xdr:graphicFrame macro="">
      <xdr:nvGraphicFramePr>
        <xdr:cNvPr id="3" name="Grafiek 2">
          <a:extLst>
            <a:ext uri="{FF2B5EF4-FFF2-40B4-BE49-F238E27FC236}">
              <a16:creationId xmlns:a16="http://schemas.microsoft.com/office/drawing/2014/main" id="{D01A4BB0-3DC4-4FE5-B4D2-7014EA5E35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172</xdr:row>
      <xdr:rowOff>106458</xdr:rowOff>
    </xdr:from>
    <xdr:to>
      <xdr:col>7</xdr:col>
      <xdr:colOff>89647</xdr:colOff>
      <xdr:row>191</xdr:row>
      <xdr:rowOff>72169</xdr:rowOff>
    </xdr:to>
    <xdr:graphicFrame macro="">
      <xdr:nvGraphicFramePr>
        <xdr:cNvPr id="4" name="Grafiek 3">
          <a:extLst>
            <a:ext uri="{FF2B5EF4-FFF2-40B4-BE49-F238E27FC236}">
              <a16:creationId xmlns:a16="http://schemas.microsoft.com/office/drawing/2014/main" id="{743B7C02-51B2-4F89-AFB9-4DF0B6D072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791584</xdr:colOff>
      <xdr:row>191</xdr:row>
      <xdr:rowOff>100630</xdr:rowOff>
    </xdr:from>
    <xdr:to>
      <xdr:col>7</xdr:col>
      <xdr:colOff>112059</xdr:colOff>
      <xdr:row>208</xdr:row>
      <xdr:rowOff>169434</xdr:rowOff>
    </xdr:to>
    <xdr:graphicFrame macro="">
      <xdr:nvGraphicFramePr>
        <xdr:cNvPr id="5" name="Grafiek 4">
          <a:extLst>
            <a:ext uri="{FF2B5EF4-FFF2-40B4-BE49-F238E27FC236}">
              <a16:creationId xmlns:a16="http://schemas.microsoft.com/office/drawing/2014/main" id="{7F590140-0C7B-453F-B82E-B323FC9FED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369794</xdr:colOff>
      <xdr:row>191</xdr:row>
      <xdr:rowOff>86510</xdr:rowOff>
    </xdr:from>
    <xdr:to>
      <xdr:col>12</xdr:col>
      <xdr:colOff>1355912</xdr:colOff>
      <xdr:row>208</xdr:row>
      <xdr:rowOff>158900</xdr:rowOff>
    </xdr:to>
    <xdr:graphicFrame macro="">
      <xdr:nvGraphicFramePr>
        <xdr:cNvPr id="6" name="Grafiek 5">
          <a:extLst>
            <a:ext uri="{FF2B5EF4-FFF2-40B4-BE49-F238E27FC236}">
              <a16:creationId xmlns:a16="http://schemas.microsoft.com/office/drawing/2014/main" id="{433F4C0A-4763-4AFE-B3BE-266427D678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78441</xdr:colOff>
      <xdr:row>191</xdr:row>
      <xdr:rowOff>116542</xdr:rowOff>
    </xdr:from>
    <xdr:to>
      <xdr:col>23</xdr:col>
      <xdr:colOff>2095500</xdr:colOff>
      <xdr:row>209</xdr:row>
      <xdr:rowOff>9638</xdr:rowOff>
    </xdr:to>
    <xdr:graphicFrame macro="">
      <xdr:nvGraphicFramePr>
        <xdr:cNvPr id="7" name="Grafiek 6">
          <a:extLst>
            <a:ext uri="{FF2B5EF4-FFF2-40B4-BE49-F238E27FC236}">
              <a16:creationId xmlns:a16="http://schemas.microsoft.com/office/drawing/2014/main" id="{F6DA9992-C28D-4179-BD92-A63CA0231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746348</xdr:colOff>
      <xdr:row>209</xdr:row>
      <xdr:rowOff>67273</xdr:rowOff>
    </xdr:from>
    <xdr:to>
      <xdr:col>7</xdr:col>
      <xdr:colOff>26262</xdr:colOff>
      <xdr:row>226</xdr:row>
      <xdr:rowOff>141797</xdr:rowOff>
    </xdr:to>
    <xdr:graphicFrame macro="">
      <xdr:nvGraphicFramePr>
        <xdr:cNvPr id="8" name="Grafiek 7">
          <a:extLst>
            <a:ext uri="{FF2B5EF4-FFF2-40B4-BE49-F238E27FC236}">
              <a16:creationId xmlns:a16="http://schemas.microsoft.com/office/drawing/2014/main" id="{CE79CABE-17BB-4935-84B7-ED69D37FDC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393806</xdr:colOff>
      <xdr:row>209</xdr:row>
      <xdr:rowOff>73105</xdr:rowOff>
    </xdr:from>
    <xdr:to>
      <xdr:col>12</xdr:col>
      <xdr:colOff>1354667</xdr:colOff>
      <xdr:row>226</xdr:row>
      <xdr:rowOff>147629</xdr:rowOff>
    </xdr:to>
    <xdr:graphicFrame macro="">
      <xdr:nvGraphicFramePr>
        <xdr:cNvPr id="9" name="Grafiek 8">
          <a:extLst>
            <a:ext uri="{FF2B5EF4-FFF2-40B4-BE49-F238E27FC236}">
              <a16:creationId xmlns:a16="http://schemas.microsoft.com/office/drawing/2014/main" id="{C58D62AF-2825-4E23-8E09-FBCC42B83E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130203</xdr:colOff>
      <xdr:row>209</xdr:row>
      <xdr:rowOff>133582</xdr:rowOff>
    </xdr:from>
    <xdr:to>
      <xdr:col>23</xdr:col>
      <xdr:colOff>2007810</xdr:colOff>
      <xdr:row>227</xdr:row>
      <xdr:rowOff>26677</xdr:rowOff>
    </xdr:to>
    <xdr:graphicFrame macro="">
      <xdr:nvGraphicFramePr>
        <xdr:cNvPr id="10" name="Grafiek 9">
          <a:extLst>
            <a:ext uri="{FF2B5EF4-FFF2-40B4-BE49-F238E27FC236}">
              <a16:creationId xmlns:a16="http://schemas.microsoft.com/office/drawing/2014/main" id="{631BF978-6366-4F11-8E6A-BFA938DB81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107463</xdr:colOff>
      <xdr:row>153</xdr:row>
      <xdr:rowOff>5859</xdr:rowOff>
    </xdr:from>
    <xdr:to>
      <xdr:col>21</xdr:col>
      <xdr:colOff>1787771</xdr:colOff>
      <xdr:row>173</xdr:row>
      <xdr:rowOff>108856</xdr:rowOff>
    </xdr:to>
    <xdr:graphicFrame macro="">
      <xdr:nvGraphicFramePr>
        <xdr:cNvPr id="11" name="Grafiek 10">
          <a:extLst>
            <a:ext uri="{FF2B5EF4-FFF2-40B4-BE49-F238E27FC236}">
              <a16:creationId xmlns:a16="http://schemas.microsoft.com/office/drawing/2014/main" id="{04BF6E49-6F65-48EA-A236-5364E387A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139700</xdr:colOff>
      <xdr:row>0</xdr:row>
      <xdr:rowOff>76200</xdr:rowOff>
    </xdr:from>
    <xdr:to>
      <xdr:col>4</xdr:col>
      <xdr:colOff>1099820</xdr:colOff>
      <xdr:row>1</xdr:row>
      <xdr:rowOff>124460</xdr:rowOff>
    </xdr:to>
    <xdr:sp macro="" textlink="">
      <xdr:nvSpPr>
        <xdr:cNvPr id="12" name="Rechthoek: schuine rand 11">
          <a:hlinkClick xmlns:r="http://schemas.openxmlformats.org/officeDocument/2006/relationships" r:id="rId11"/>
          <a:extLst>
            <a:ext uri="{FF2B5EF4-FFF2-40B4-BE49-F238E27FC236}">
              <a16:creationId xmlns:a16="http://schemas.microsoft.com/office/drawing/2014/main" id="{1DEC0DA2-0AB3-4A3C-9C6A-68836858EAD2}"/>
            </a:ext>
          </a:extLst>
        </xdr:cNvPr>
        <xdr:cNvSpPr/>
      </xdr:nvSpPr>
      <xdr:spPr>
        <a:xfrm>
          <a:off x="5039360" y="76200"/>
          <a:ext cx="960120" cy="28448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Handleiding</a:t>
          </a:r>
        </a:p>
      </xdr:txBody>
    </xdr:sp>
    <xdr:clientData/>
  </xdr:twoCellAnchor>
  <xdr:twoCellAnchor>
    <xdr:from>
      <xdr:col>4</xdr:col>
      <xdr:colOff>1244600</xdr:colOff>
      <xdr:row>0</xdr:row>
      <xdr:rowOff>76200</xdr:rowOff>
    </xdr:from>
    <xdr:to>
      <xdr:col>5</xdr:col>
      <xdr:colOff>1143000</xdr:colOff>
      <xdr:row>1</xdr:row>
      <xdr:rowOff>124460</xdr:rowOff>
    </xdr:to>
    <xdr:sp macro="" textlink="">
      <xdr:nvSpPr>
        <xdr:cNvPr id="13" name="Rechthoek: schuine rand 12">
          <a:hlinkClick xmlns:r="http://schemas.openxmlformats.org/officeDocument/2006/relationships" r:id="rId12"/>
          <a:extLst>
            <a:ext uri="{FF2B5EF4-FFF2-40B4-BE49-F238E27FC236}">
              <a16:creationId xmlns:a16="http://schemas.microsoft.com/office/drawing/2014/main" id="{EE3C9F96-2B08-4745-A7FD-E9C74F8785E9}"/>
            </a:ext>
          </a:extLst>
        </xdr:cNvPr>
        <xdr:cNvSpPr/>
      </xdr:nvSpPr>
      <xdr:spPr>
        <a:xfrm>
          <a:off x="6144260" y="76200"/>
          <a:ext cx="1719580" cy="28448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Te gebruiken meststoffen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8066</xdr:colOff>
      <xdr:row>153</xdr:row>
      <xdr:rowOff>13674</xdr:rowOff>
    </xdr:from>
    <xdr:to>
      <xdr:col>7</xdr:col>
      <xdr:colOff>67236</xdr:colOff>
      <xdr:row>172</xdr:row>
      <xdr:rowOff>74859</xdr:rowOff>
    </xdr:to>
    <xdr:graphicFrame macro="">
      <xdr:nvGraphicFramePr>
        <xdr:cNvPr id="2" name="Grafiek 1">
          <a:extLst>
            <a:ext uri="{FF2B5EF4-FFF2-40B4-BE49-F238E27FC236}">
              <a16:creationId xmlns:a16="http://schemas.microsoft.com/office/drawing/2014/main" id="{1AB8A430-B631-4ED1-AC41-078BEAB076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380998</xdr:colOff>
      <xdr:row>153</xdr:row>
      <xdr:rowOff>20844</xdr:rowOff>
    </xdr:from>
    <xdr:to>
      <xdr:col>12</xdr:col>
      <xdr:colOff>1187822</xdr:colOff>
      <xdr:row>172</xdr:row>
      <xdr:rowOff>70374</xdr:rowOff>
    </xdr:to>
    <xdr:graphicFrame macro="">
      <xdr:nvGraphicFramePr>
        <xdr:cNvPr id="3" name="Grafiek 2">
          <a:extLst>
            <a:ext uri="{FF2B5EF4-FFF2-40B4-BE49-F238E27FC236}">
              <a16:creationId xmlns:a16="http://schemas.microsoft.com/office/drawing/2014/main" id="{88E93183-3453-4CF3-9CB7-B77920FE6D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172</xdr:row>
      <xdr:rowOff>106458</xdr:rowOff>
    </xdr:from>
    <xdr:to>
      <xdr:col>7</xdr:col>
      <xdr:colOff>89647</xdr:colOff>
      <xdr:row>191</xdr:row>
      <xdr:rowOff>72169</xdr:rowOff>
    </xdr:to>
    <xdr:graphicFrame macro="">
      <xdr:nvGraphicFramePr>
        <xdr:cNvPr id="4" name="Grafiek 3">
          <a:extLst>
            <a:ext uri="{FF2B5EF4-FFF2-40B4-BE49-F238E27FC236}">
              <a16:creationId xmlns:a16="http://schemas.microsoft.com/office/drawing/2014/main" id="{2E27E787-160E-464F-813B-C444408EEC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791584</xdr:colOff>
      <xdr:row>191</xdr:row>
      <xdr:rowOff>100630</xdr:rowOff>
    </xdr:from>
    <xdr:to>
      <xdr:col>7</xdr:col>
      <xdr:colOff>112059</xdr:colOff>
      <xdr:row>208</xdr:row>
      <xdr:rowOff>169434</xdr:rowOff>
    </xdr:to>
    <xdr:graphicFrame macro="">
      <xdr:nvGraphicFramePr>
        <xdr:cNvPr id="5" name="Grafiek 4">
          <a:extLst>
            <a:ext uri="{FF2B5EF4-FFF2-40B4-BE49-F238E27FC236}">
              <a16:creationId xmlns:a16="http://schemas.microsoft.com/office/drawing/2014/main" id="{FA4BF947-AC85-402D-9C41-1C5BCE04CF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369794</xdr:colOff>
      <xdr:row>191</xdr:row>
      <xdr:rowOff>86510</xdr:rowOff>
    </xdr:from>
    <xdr:to>
      <xdr:col>12</xdr:col>
      <xdr:colOff>1355912</xdr:colOff>
      <xdr:row>208</xdr:row>
      <xdr:rowOff>158900</xdr:rowOff>
    </xdr:to>
    <xdr:graphicFrame macro="">
      <xdr:nvGraphicFramePr>
        <xdr:cNvPr id="6" name="Grafiek 5">
          <a:extLst>
            <a:ext uri="{FF2B5EF4-FFF2-40B4-BE49-F238E27FC236}">
              <a16:creationId xmlns:a16="http://schemas.microsoft.com/office/drawing/2014/main" id="{9473E958-E7FE-4129-94C1-071720109A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78441</xdr:colOff>
      <xdr:row>191</xdr:row>
      <xdr:rowOff>116542</xdr:rowOff>
    </xdr:from>
    <xdr:to>
      <xdr:col>23</xdr:col>
      <xdr:colOff>2095500</xdr:colOff>
      <xdr:row>209</xdr:row>
      <xdr:rowOff>9638</xdr:rowOff>
    </xdr:to>
    <xdr:graphicFrame macro="">
      <xdr:nvGraphicFramePr>
        <xdr:cNvPr id="7" name="Grafiek 6">
          <a:extLst>
            <a:ext uri="{FF2B5EF4-FFF2-40B4-BE49-F238E27FC236}">
              <a16:creationId xmlns:a16="http://schemas.microsoft.com/office/drawing/2014/main" id="{D9994A4A-3AD7-42EA-B133-67325A64D5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746348</xdr:colOff>
      <xdr:row>209</xdr:row>
      <xdr:rowOff>67273</xdr:rowOff>
    </xdr:from>
    <xdr:to>
      <xdr:col>7</xdr:col>
      <xdr:colOff>26262</xdr:colOff>
      <xdr:row>226</xdr:row>
      <xdr:rowOff>141797</xdr:rowOff>
    </xdr:to>
    <xdr:graphicFrame macro="">
      <xdr:nvGraphicFramePr>
        <xdr:cNvPr id="8" name="Grafiek 7">
          <a:extLst>
            <a:ext uri="{FF2B5EF4-FFF2-40B4-BE49-F238E27FC236}">
              <a16:creationId xmlns:a16="http://schemas.microsoft.com/office/drawing/2014/main" id="{33323E57-2A08-4890-90AD-681EE5DF61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393806</xdr:colOff>
      <xdr:row>209</xdr:row>
      <xdr:rowOff>73105</xdr:rowOff>
    </xdr:from>
    <xdr:to>
      <xdr:col>12</xdr:col>
      <xdr:colOff>1354667</xdr:colOff>
      <xdr:row>226</xdr:row>
      <xdr:rowOff>147629</xdr:rowOff>
    </xdr:to>
    <xdr:graphicFrame macro="">
      <xdr:nvGraphicFramePr>
        <xdr:cNvPr id="9" name="Grafiek 8">
          <a:extLst>
            <a:ext uri="{FF2B5EF4-FFF2-40B4-BE49-F238E27FC236}">
              <a16:creationId xmlns:a16="http://schemas.microsoft.com/office/drawing/2014/main" id="{C8C67D7A-EE0A-4B72-BB40-D9F1F91ACD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130203</xdr:colOff>
      <xdr:row>209</xdr:row>
      <xdr:rowOff>133582</xdr:rowOff>
    </xdr:from>
    <xdr:to>
      <xdr:col>23</xdr:col>
      <xdr:colOff>2007810</xdr:colOff>
      <xdr:row>227</xdr:row>
      <xdr:rowOff>26677</xdr:rowOff>
    </xdr:to>
    <xdr:graphicFrame macro="">
      <xdr:nvGraphicFramePr>
        <xdr:cNvPr id="10" name="Grafiek 9">
          <a:extLst>
            <a:ext uri="{FF2B5EF4-FFF2-40B4-BE49-F238E27FC236}">
              <a16:creationId xmlns:a16="http://schemas.microsoft.com/office/drawing/2014/main" id="{986AE4D4-487C-4092-A198-B7950B2A44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107463</xdr:colOff>
      <xdr:row>153</xdr:row>
      <xdr:rowOff>5859</xdr:rowOff>
    </xdr:from>
    <xdr:to>
      <xdr:col>21</xdr:col>
      <xdr:colOff>1787771</xdr:colOff>
      <xdr:row>173</xdr:row>
      <xdr:rowOff>108856</xdr:rowOff>
    </xdr:to>
    <xdr:graphicFrame macro="">
      <xdr:nvGraphicFramePr>
        <xdr:cNvPr id="11" name="Grafiek 10">
          <a:extLst>
            <a:ext uri="{FF2B5EF4-FFF2-40B4-BE49-F238E27FC236}">
              <a16:creationId xmlns:a16="http://schemas.microsoft.com/office/drawing/2014/main" id="{76956150-E7CF-41F4-9856-D4516A473B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139700</xdr:colOff>
      <xdr:row>0</xdr:row>
      <xdr:rowOff>76200</xdr:rowOff>
    </xdr:from>
    <xdr:to>
      <xdr:col>4</xdr:col>
      <xdr:colOff>1099820</xdr:colOff>
      <xdr:row>1</xdr:row>
      <xdr:rowOff>124460</xdr:rowOff>
    </xdr:to>
    <xdr:sp macro="" textlink="">
      <xdr:nvSpPr>
        <xdr:cNvPr id="12" name="Rechthoek: schuine rand 11">
          <a:hlinkClick xmlns:r="http://schemas.openxmlformats.org/officeDocument/2006/relationships" r:id="rId11"/>
          <a:extLst>
            <a:ext uri="{FF2B5EF4-FFF2-40B4-BE49-F238E27FC236}">
              <a16:creationId xmlns:a16="http://schemas.microsoft.com/office/drawing/2014/main" id="{7346A5EC-04BF-454D-A6C0-7AC74B67862E}"/>
            </a:ext>
          </a:extLst>
        </xdr:cNvPr>
        <xdr:cNvSpPr/>
      </xdr:nvSpPr>
      <xdr:spPr>
        <a:xfrm>
          <a:off x="5039360" y="76200"/>
          <a:ext cx="960120" cy="28448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Handleiding</a:t>
          </a:r>
        </a:p>
      </xdr:txBody>
    </xdr:sp>
    <xdr:clientData/>
  </xdr:twoCellAnchor>
  <xdr:twoCellAnchor>
    <xdr:from>
      <xdr:col>4</xdr:col>
      <xdr:colOff>1244600</xdr:colOff>
      <xdr:row>0</xdr:row>
      <xdr:rowOff>76200</xdr:rowOff>
    </xdr:from>
    <xdr:to>
      <xdr:col>5</xdr:col>
      <xdr:colOff>1143000</xdr:colOff>
      <xdr:row>1</xdr:row>
      <xdr:rowOff>124460</xdr:rowOff>
    </xdr:to>
    <xdr:sp macro="" textlink="">
      <xdr:nvSpPr>
        <xdr:cNvPr id="13" name="Rechthoek: schuine rand 12">
          <a:hlinkClick xmlns:r="http://schemas.openxmlformats.org/officeDocument/2006/relationships" r:id="rId12"/>
          <a:extLst>
            <a:ext uri="{FF2B5EF4-FFF2-40B4-BE49-F238E27FC236}">
              <a16:creationId xmlns:a16="http://schemas.microsoft.com/office/drawing/2014/main" id="{AABAF8D8-446A-449F-8716-6C1B93D208D9}"/>
            </a:ext>
          </a:extLst>
        </xdr:cNvPr>
        <xdr:cNvSpPr/>
      </xdr:nvSpPr>
      <xdr:spPr>
        <a:xfrm>
          <a:off x="6144260" y="76200"/>
          <a:ext cx="1719580" cy="28448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Te gebruiken meststoffen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8066</xdr:colOff>
      <xdr:row>153</xdr:row>
      <xdr:rowOff>13674</xdr:rowOff>
    </xdr:from>
    <xdr:to>
      <xdr:col>7</xdr:col>
      <xdr:colOff>67236</xdr:colOff>
      <xdr:row>172</xdr:row>
      <xdr:rowOff>74859</xdr:rowOff>
    </xdr:to>
    <xdr:graphicFrame macro="">
      <xdr:nvGraphicFramePr>
        <xdr:cNvPr id="2" name="Grafiek 1">
          <a:extLst>
            <a:ext uri="{FF2B5EF4-FFF2-40B4-BE49-F238E27FC236}">
              <a16:creationId xmlns:a16="http://schemas.microsoft.com/office/drawing/2014/main" id="{EB5CB687-9278-4F08-B779-3F45C05D71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380998</xdr:colOff>
      <xdr:row>153</xdr:row>
      <xdr:rowOff>20844</xdr:rowOff>
    </xdr:from>
    <xdr:to>
      <xdr:col>12</xdr:col>
      <xdr:colOff>1187822</xdr:colOff>
      <xdr:row>172</xdr:row>
      <xdr:rowOff>70374</xdr:rowOff>
    </xdr:to>
    <xdr:graphicFrame macro="">
      <xdr:nvGraphicFramePr>
        <xdr:cNvPr id="3" name="Grafiek 2">
          <a:extLst>
            <a:ext uri="{FF2B5EF4-FFF2-40B4-BE49-F238E27FC236}">
              <a16:creationId xmlns:a16="http://schemas.microsoft.com/office/drawing/2014/main" id="{E9100EC8-823F-4EBE-9E90-B4E72C6AD9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172</xdr:row>
      <xdr:rowOff>106458</xdr:rowOff>
    </xdr:from>
    <xdr:to>
      <xdr:col>7</xdr:col>
      <xdr:colOff>89647</xdr:colOff>
      <xdr:row>191</xdr:row>
      <xdr:rowOff>72169</xdr:rowOff>
    </xdr:to>
    <xdr:graphicFrame macro="">
      <xdr:nvGraphicFramePr>
        <xdr:cNvPr id="4" name="Grafiek 3">
          <a:extLst>
            <a:ext uri="{FF2B5EF4-FFF2-40B4-BE49-F238E27FC236}">
              <a16:creationId xmlns:a16="http://schemas.microsoft.com/office/drawing/2014/main" id="{ABDD652B-498A-4A1A-8E88-CA389081C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791584</xdr:colOff>
      <xdr:row>191</xdr:row>
      <xdr:rowOff>100630</xdr:rowOff>
    </xdr:from>
    <xdr:to>
      <xdr:col>7</xdr:col>
      <xdr:colOff>112059</xdr:colOff>
      <xdr:row>208</xdr:row>
      <xdr:rowOff>169434</xdr:rowOff>
    </xdr:to>
    <xdr:graphicFrame macro="">
      <xdr:nvGraphicFramePr>
        <xdr:cNvPr id="5" name="Grafiek 4">
          <a:extLst>
            <a:ext uri="{FF2B5EF4-FFF2-40B4-BE49-F238E27FC236}">
              <a16:creationId xmlns:a16="http://schemas.microsoft.com/office/drawing/2014/main" id="{1C05B8A5-3C7B-4D5F-8985-DDA7EAFF35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369794</xdr:colOff>
      <xdr:row>191</xdr:row>
      <xdr:rowOff>86510</xdr:rowOff>
    </xdr:from>
    <xdr:to>
      <xdr:col>12</xdr:col>
      <xdr:colOff>1355912</xdr:colOff>
      <xdr:row>208</xdr:row>
      <xdr:rowOff>158900</xdr:rowOff>
    </xdr:to>
    <xdr:graphicFrame macro="">
      <xdr:nvGraphicFramePr>
        <xdr:cNvPr id="6" name="Grafiek 5">
          <a:extLst>
            <a:ext uri="{FF2B5EF4-FFF2-40B4-BE49-F238E27FC236}">
              <a16:creationId xmlns:a16="http://schemas.microsoft.com/office/drawing/2014/main" id="{2584B07E-49C0-4AEE-AE68-C57D4BDFDC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78441</xdr:colOff>
      <xdr:row>191</xdr:row>
      <xdr:rowOff>116542</xdr:rowOff>
    </xdr:from>
    <xdr:to>
      <xdr:col>23</xdr:col>
      <xdr:colOff>2095500</xdr:colOff>
      <xdr:row>209</xdr:row>
      <xdr:rowOff>9638</xdr:rowOff>
    </xdr:to>
    <xdr:graphicFrame macro="">
      <xdr:nvGraphicFramePr>
        <xdr:cNvPr id="7" name="Grafiek 6">
          <a:extLst>
            <a:ext uri="{FF2B5EF4-FFF2-40B4-BE49-F238E27FC236}">
              <a16:creationId xmlns:a16="http://schemas.microsoft.com/office/drawing/2014/main" id="{BB41390E-00CB-4048-8BC6-927F5E7C25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746348</xdr:colOff>
      <xdr:row>209</xdr:row>
      <xdr:rowOff>67273</xdr:rowOff>
    </xdr:from>
    <xdr:to>
      <xdr:col>7</xdr:col>
      <xdr:colOff>26262</xdr:colOff>
      <xdr:row>226</xdr:row>
      <xdr:rowOff>141797</xdr:rowOff>
    </xdr:to>
    <xdr:graphicFrame macro="">
      <xdr:nvGraphicFramePr>
        <xdr:cNvPr id="8" name="Grafiek 7">
          <a:extLst>
            <a:ext uri="{FF2B5EF4-FFF2-40B4-BE49-F238E27FC236}">
              <a16:creationId xmlns:a16="http://schemas.microsoft.com/office/drawing/2014/main" id="{1EBB6819-A661-401B-8133-BDF8EE84FB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393806</xdr:colOff>
      <xdr:row>209</xdr:row>
      <xdr:rowOff>73105</xdr:rowOff>
    </xdr:from>
    <xdr:to>
      <xdr:col>12</xdr:col>
      <xdr:colOff>1354667</xdr:colOff>
      <xdr:row>226</xdr:row>
      <xdr:rowOff>147629</xdr:rowOff>
    </xdr:to>
    <xdr:graphicFrame macro="">
      <xdr:nvGraphicFramePr>
        <xdr:cNvPr id="9" name="Grafiek 8">
          <a:extLst>
            <a:ext uri="{FF2B5EF4-FFF2-40B4-BE49-F238E27FC236}">
              <a16:creationId xmlns:a16="http://schemas.microsoft.com/office/drawing/2014/main" id="{6FDB2BD4-02F1-443A-9B8E-94C4A5A078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130203</xdr:colOff>
      <xdr:row>209</xdr:row>
      <xdr:rowOff>133582</xdr:rowOff>
    </xdr:from>
    <xdr:to>
      <xdr:col>23</xdr:col>
      <xdr:colOff>2007810</xdr:colOff>
      <xdr:row>227</xdr:row>
      <xdr:rowOff>26677</xdr:rowOff>
    </xdr:to>
    <xdr:graphicFrame macro="">
      <xdr:nvGraphicFramePr>
        <xdr:cNvPr id="10" name="Grafiek 9">
          <a:extLst>
            <a:ext uri="{FF2B5EF4-FFF2-40B4-BE49-F238E27FC236}">
              <a16:creationId xmlns:a16="http://schemas.microsoft.com/office/drawing/2014/main" id="{F0910DE3-D3EC-4463-8736-E101E20D72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107463</xdr:colOff>
      <xdr:row>153</xdr:row>
      <xdr:rowOff>5859</xdr:rowOff>
    </xdr:from>
    <xdr:to>
      <xdr:col>21</xdr:col>
      <xdr:colOff>1787771</xdr:colOff>
      <xdr:row>173</xdr:row>
      <xdr:rowOff>108856</xdr:rowOff>
    </xdr:to>
    <xdr:graphicFrame macro="">
      <xdr:nvGraphicFramePr>
        <xdr:cNvPr id="11" name="Grafiek 10">
          <a:extLst>
            <a:ext uri="{FF2B5EF4-FFF2-40B4-BE49-F238E27FC236}">
              <a16:creationId xmlns:a16="http://schemas.microsoft.com/office/drawing/2014/main" id="{D9189B99-F9E7-4867-9792-127A4EDE5B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139700</xdr:colOff>
      <xdr:row>0</xdr:row>
      <xdr:rowOff>76200</xdr:rowOff>
    </xdr:from>
    <xdr:to>
      <xdr:col>4</xdr:col>
      <xdr:colOff>1099820</xdr:colOff>
      <xdr:row>1</xdr:row>
      <xdr:rowOff>124460</xdr:rowOff>
    </xdr:to>
    <xdr:sp macro="" textlink="">
      <xdr:nvSpPr>
        <xdr:cNvPr id="12" name="Rechthoek: schuine rand 11">
          <a:hlinkClick xmlns:r="http://schemas.openxmlformats.org/officeDocument/2006/relationships" r:id="rId11"/>
          <a:extLst>
            <a:ext uri="{FF2B5EF4-FFF2-40B4-BE49-F238E27FC236}">
              <a16:creationId xmlns:a16="http://schemas.microsoft.com/office/drawing/2014/main" id="{84F07F67-E443-428D-AA33-19FF5A532266}"/>
            </a:ext>
          </a:extLst>
        </xdr:cNvPr>
        <xdr:cNvSpPr/>
      </xdr:nvSpPr>
      <xdr:spPr>
        <a:xfrm>
          <a:off x="5039360" y="76200"/>
          <a:ext cx="960120" cy="28448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Handleiding</a:t>
          </a:r>
        </a:p>
      </xdr:txBody>
    </xdr:sp>
    <xdr:clientData/>
  </xdr:twoCellAnchor>
  <xdr:twoCellAnchor>
    <xdr:from>
      <xdr:col>4</xdr:col>
      <xdr:colOff>1244600</xdr:colOff>
      <xdr:row>0</xdr:row>
      <xdr:rowOff>76200</xdr:rowOff>
    </xdr:from>
    <xdr:to>
      <xdr:col>5</xdr:col>
      <xdr:colOff>1143000</xdr:colOff>
      <xdr:row>1</xdr:row>
      <xdr:rowOff>124460</xdr:rowOff>
    </xdr:to>
    <xdr:sp macro="" textlink="">
      <xdr:nvSpPr>
        <xdr:cNvPr id="13" name="Rechthoek: schuine rand 12">
          <a:hlinkClick xmlns:r="http://schemas.openxmlformats.org/officeDocument/2006/relationships" r:id="rId12"/>
          <a:extLst>
            <a:ext uri="{FF2B5EF4-FFF2-40B4-BE49-F238E27FC236}">
              <a16:creationId xmlns:a16="http://schemas.microsoft.com/office/drawing/2014/main" id="{2F23FF8A-23E9-46DD-86E5-0BA4DF7EDFC1}"/>
            </a:ext>
          </a:extLst>
        </xdr:cNvPr>
        <xdr:cNvSpPr/>
      </xdr:nvSpPr>
      <xdr:spPr>
        <a:xfrm>
          <a:off x="6144260" y="76200"/>
          <a:ext cx="1719580" cy="28448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Te gebruiken meststoffen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8066</xdr:colOff>
      <xdr:row>153</xdr:row>
      <xdr:rowOff>13674</xdr:rowOff>
    </xdr:from>
    <xdr:to>
      <xdr:col>7</xdr:col>
      <xdr:colOff>67236</xdr:colOff>
      <xdr:row>172</xdr:row>
      <xdr:rowOff>74859</xdr:rowOff>
    </xdr:to>
    <xdr:graphicFrame macro="">
      <xdr:nvGraphicFramePr>
        <xdr:cNvPr id="2" name="Grafiek 1">
          <a:extLst>
            <a:ext uri="{FF2B5EF4-FFF2-40B4-BE49-F238E27FC236}">
              <a16:creationId xmlns:a16="http://schemas.microsoft.com/office/drawing/2014/main" id="{07C154B4-741E-4AC1-BB52-FD8BC8C9ED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380998</xdr:colOff>
      <xdr:row>153</xdr:row>
      <xdr:rowOff>20844</xdr:rowOff>
    </xdr:from>
    <xdr:to>
      <xdr:col>12</xdr:col>
      <xdr:colOff>1187822</xdr:colOff>
      <xdr:row>172</xdr:row>
      <xdr:rowOff>70374</xdr:rowOff>
    </xdr:to>
    <xdr:graphicFrame macro="">
      <xdr:nvGraphicFramePr>
        <xdr:cNvPr id="3" name="Grafiek 2">
          <a:extLst>
            <a:ext uri="{FF2B5EF4-FFF2-40B4-BE49-F238E27FC236}">
              <a16:creationId xmlns:a16="http://schemas.microsoft.com/office/drawing/2014/main" id="{7A016086-50DD-4492-BFB6-008F66B798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172</xdr:row>
      <xdr:rowOff>106458</xdr:rowOff>
    </xdr:from>
    <xdr:to>
      <xdr:col>7</xdr:col>
      <xdr:colOff>89647</xdr:colOff>
      <xdr:row>191</xdr:row>
      <xdr:rowOff>72169</xdr:rowOff>
    </xdr:to>
    <xdr:graphicFrame macro="">
      <xdr:nvGraphicFramePr>
        <xdr:cNvPr id="4" name="Grafiek 3">
          <a:extLst>
            <a:ext uri="{FF2B5EF4-FFF2-40B4-BE49-F238E27FC236}">
              <a16:creationId xmlns:a16="http://schemas.microsoft.com/office/drawing/2014/main" id="{030B579E-CEAA-4DB0-92ED-2F977FE2A5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791584</xdr:colOff>
      <xdr:row>191</xdr:row>
      <xdr:rowOff>100630</xdr:rowOff>
    </xdr:from>
    <xdr:to>
      <xdr:col>7</xdr:col>
      <xdr:colOff>112059</xdr:colOff>
      <xdr:row>208</xdr:row>
      <xdr:rowOff>169434</xdr:rowOff>
    </xdr:to>
    <xdr:graphicFrame macro="">
      <xdr:nvGraphicFramePr>
        <xdr:cNvPr id="5" name="Grafiek 4">
          <a:extLst>
            <a:ext uri="{FF2B5EF4-FFF2-40B4-BE49-F238E27FC236}">
              <a16:creationId xmlns:a16="http://schemas.microsoft.com/office/drawing/2014/main" id="{3E0D8FAC-C16D-4C32-8409-1FB32B50EE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369794</xdr:colOff>
      <xdr:row>191</xdr:row>
      <xdr:rowOff>86510</xdr:rowOff>
    </xdr:from>
    <xdr:to>
      <xdr:col>12</xdr:col>
      <xdr:colOff>1355912</xdr:colOff>
      <xdr:row>208</xdr:row>
      <xdr:rowOff>158900</xdr:rowOff>
    </xdr:to>
    <xdr:graphicFrame macro="">
      <xdr:nvGraphicFramePr>
        <xdr:cNvPr id="6" name="Grafiek 5">
          <a:extLst>
            <a:ext uri="{FF2B5EF4-FFF2-40B4-BE49-F238E27FC236}">
              <a16:creationId xmlns:a16="http://schemas.microsoft.com/office/drawing/2014/main" id="{9A8E0D7F-EFBF-4D13-8E9C-B224CD54A6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78441</xdr:colOff>
      <xdr:row>191</xdr:row>
      <xdr:rowOff>116542</xdr:rowOff>
    </xdr:from>
    <xdr:to>
      <xdr:col>23</xdr:col>
      <xdr:colOff>2095500</xdr:colOff>
      <xdr:row>209</xdr:row>
      <xdr:rowOff>9638</xdr:rowOff>
    </xdr:to>
    <xdr:graphicFrame macro="">
      <xdr:nvGraphicFramePr>
        <xdr:cNvPr id="7" name="Grafiek 6">
          <a:extLst>
            <a:ext uri="{FF2B5EF4-FFF2-40B4-BE49-F238E27FC236}">
              <a16:creationId xmlns:a16="http://schemas.microsoft.com/office/drawing/2014/main" id="{D6AC71D7-22DD-4370-9376-679036C995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746348</xdr:colOff>
      <xdr:row>209</xdr:row>
      <xdr:rowOff>67273</xdr:rowOff>
    </xdr:from>
    <xdr:to>
      <xdr:col>7</xdr:col>
      <xdr:colOff>26262</xdr:colOff>
      <xdr:row>226</xdr:row>
      <xdr:rowOff>141797</xdr:rowOff>
    </xdr:to>
    <xdr:graphicFrame macro="">
      <xdr:nvGraphicFramePr>
        <xdr:cNvPr id="8" name="Grafiek 7">
          <a:extLst>
            <a:ext uri="{FF2B5EF4-FFF2-40B4-BE49-F238E27FC236}">
              <a16:creationId xmlns:a16="http://schemas.microsoft.com/office/drawing/2014/main" id="{013E3C95-93AB-4308-9272-A0DD37B11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393806</xdr:colOff>
      <xdr:row>209</xdr:row>
      <xdr:rowOff>73105</xdr:rowOff>
    </xdr:from>
    <xdr:to>
      <xdr:col>12</xdr:col>
      <xdr:colOff>1354667</xdr:colOff>
      <xdr:row>226</xdr:row>
      <xdr:rowOff>147629</xdr:rowOff>
    </xdr:to>
    <xdr:graphicFrame macro="">
      <xdr:nvGraphicFramePr>
        <xdr:cNvPr id="9" name="Grafiek 8">
          <a:extLst>
            <a:ext uri="{FF2B5EF4-FFF2-40B4-BE49-F238E27FC236}">
              <a16:creationId xmlns:a16="http://schemas.microsoft.com/office/drawing/2014/main" id="{924B0ADA-6312-4573-BF8A-43327B1042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130203</xdr:colOff>
      <xdr:row>209</xdr:row>
      <xdr:rowOff>133582</xdr:rowOff>
    </xdr:from>
    <xdr:to>
      <xdr:col>23</xdr:col>
      <xdr:colOff>2007810</xdr:colOff>
      <xdr:row>227</xdr:row>
      <xdr:rowOff>26677</xdr:rowOff>
    </xdr:to>
    <xdr:graphicFrame macro="">
      <xdr:nvGraphicFramePr>
        <xdr:cNvPr id="10" name="Grafiek 9">
          <a:extLst>
            <a:ext uri="{FF2B5EF4-FFF2-40B4-BE49-F238E27FC236}">
              <a16:creationId xmlns:a16="http://schemas.microsoft.com/office/drawing/2014/main" id="{886D451A-0347-46A6-8BDC-E2E6529DF0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107463</xdr:colOff>
      <xdr:row>153</xdr:row>
      <xdr:rowOff>5859</xdr:rowOff>
    </xdr:from>
    <xdr:to>
      <xdr:col>21</xdr:col>
      <xdr:colOff>1787771</xdr:colOff>
      <xdr:row>173</xdr:row>
      <xdr:rowOff>108856</xdr:rowOff>
    </xdr:to>
    <xdr:graphicFrame macro="">
      <xdr:nvGraphicFramePr>
        <xdr:cNvPr id="11" name="Grafiek 10">
          <a:extLst>
            <a:ext uri="{FF2B5EF4-FFF2-40B4-BE49-F238E27FC236}">
              <a16:creationId xmlns:a16="http://schemas.microsoft.com/office/drawing/2014/main" id="{D4606CCD-C513-4360-8BC2-BAC4A2C40A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139700</xdr:colOff>
      <xdr:row>0</xdr:row>
      <xdr:rowOff>76200</xdr:rowOff>
    </xdr:from>
    <xdr:to>
      <xdr:col>4</xdr:col>
      <xdr:colOff>1099820</xdr:colOff>
      <xdr:row>1</xdr:row>
      <xdr:rowOff>124460</xdr:rowOff>
    </xdr:to>
    <xdr:sp macro="" textlink="">
      <xdr:nvSpPr>
        <xdr:cNvPr id="12" name="Rechthoek: schuine rand 11">
          <a:hlinkClick xmlns:r="http://schemas.openxmlformats.org/officeDocument/2006/relationships" r:id="rId11"/>
          <a:extLst>
            <a:ext uri="{FF2B5EF4-FFF2-40B4-BE49-F238E27FC236}">
              <a16:creationId xmlns:a16="http://schemas.microsoft.com/office/drawing/2014/main" id="{7D275072-A824-4D32-B314-B9AB4EB1AF7A}"/>
            </a:ext>
          </a:extLst>
        </xdr:cNvPr>
        <xdr:cNvSpPr/>
      </xdr:nvSpPr>
      <xdr:spPr>
        <a:xfrm>
          <a:off x="5039360" y="76200"/>
          <a:ext cx="960120" cy="28448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Handleiding</a:t>
          </a:r>
        </a:p>
      </xdr:txBody>
    </xdr:sp>
    <xdr:clientData/>
  </xdr:twoCellAnchor>
  <xdr:twoCellAnchor>
    <xdr:from>
      <xdr:col>4</xdr:col>
      <xdr:colOff>1244600</xdr:colOff>
      <xdr:row>0</xdr:row>
      <xdr:rowOff>76200</xdr:rowOff>
    </xdr:from>
    <xdr:to>
      <xdr:col>5</xdr:col>
      <xdr:colOff>1143000</xdr:colOff>
      <xdr:row>1</xdr:row>
      <xdr:rowOff>124460</xdr:rowOff>
    </xdr:to>
    <xdr:sp macro="" textlink="">
      <xdr:nvSpPr>
        <xdr:cNvPr id="13" name="Rechthoek: schuine rand 12">
          <a:hlinkClick xmlns:r="http://schemas.openxmlformats.org/officeDocument/2006/relationships" r:id="rId12"/>
          <a:extLst>
            <a:ext uri="{FF2B5EF4-FFF2-40B4-BE49-F238E27FC236}">
              <a16:creationId xmlns:a16="http://schemas.microsoft.com/office/drawing/2014/main" id="{CE32DC02-818B-4A14-96BA-2659C7BC428F}"/>
            </a:ext>
          </a:extLst>
        </xdr:cNvPr>
        <xdr:cNvSpPr/>
      </xdr:nvSpPr>
      <xdr:spPr>
        <a:xfrm>
          <a:off x="6144260" y="76200"/>
          <a:ext cx="1719580" cy="284480"/>
        </a:xfrm>
        <a:prstGeom prst="beve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nl-BE" sz="1100"/>
            <a:t>Te gebruiken meststoffen</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36</xdr:col>
      <xdr:colOff>0</xdr:colOff>
      <xdr:row>1</xdr:row>
      <xdr:rowOff>0</xdr:rowOff>
    </xdr:from>
    <xdr:to>
      <xdr:col>42</xdr:col>
      <xdr:colOff>391090</xdr:colOff>
      <xdr:row>2</xdr:row>
      <xdr:rowOff>343054</xdr:rowOff>
    </xdr:to>
    <xdr:pic>
      <xdr:nvPicPr>
        <xdr:cNvPr id="2" name="Afbeelding 1">
          <a:extLst>
            <a:ext uri="{FF2B5EF4-FFF2-40B4-BE49-F238E27FC236}">
              <a16:creationId xmlns:a16="http://schemas.microsoft.com/office/drawing/2014/main" id="{67941B6F-BF49-4BFB-9129-F1E37AC30397}"/>
            </a:ext>
          </a:extLst>
        </xdr:cNvPr>
        <xdr:cNvPicPr>
          <a:picLocks noChangeAspect="1"/>
        </xdr:cNvPicPr>
      </xdr:nvPicPr>
      <xdr:blipFill>
        <a:blip xmlns:r="http://schemas.openxmlformats.org/officeDocument/2006/relationships" r:embed="rId1"/>
        <a:stretch>
          <a:fillRect/>
        </a:stretch>
      </xdr:blipFill>
      <xdr:spPr>
        <a:xfrm>
          <a:off x="25366980" y="800100"/>
          <a:ext cx="4048690" cy="1105054"/>
        </a:xfrm>
        <a:prstGeom prst="rect">
          <a:avLst/>
        </a:prstGeom>
      </xdr:spPr>
    </xdr:pic>
    <xdr:clientData/>
  </xdr:twoCellAnchor>
  <xdr:twoCellAnchor editAs="oneCell">
    <xdr:from>
      <xdr:col>36</xdr:col>
      <xdr:colOff>0</xdr:colOff>
      <xdr:row>156</xdr:row>
      <xdr:rowOff>0</xdr:rowOff>
    </xdr:from>
    <xdr:to>
      <xdr:col>46</xdr:col>
      <xdr:colOff>3555</xdr:colOff>
      <xdr:row>164</xdr:row>
      <xdr:rowOff>97927</xdr:rowOff>
    </xdr:to>
    <xdr:pic>
      <xdr:nvPicPr>
        <xdr:cNvPr id="3" name="Afbeelding 2">
          <a:extLst>
            <a:ext uri="{FF2B5EF4-FFF2-40B4-BE49-F238E27FC236}">
              <a16:creationId xmlns:a16="http://schemas.microsoft.com/office/drawing/2014/main" id="{30243A3F-E057-478F-9754-C380D6277967}"/>
            </a:ext>
          </a:extLst>
        </xdr:cNvPr>
        <xdr:cNvPicPr>
          <a:picLocks noChangeAspect="1"/>
        </xdr:cNvPicPr>
      </xdr:nvPicPr>
      <xdr:blipFill>
        <a:blip xmlns:r="http://schemas.openxmlformats.org/officeDocument/2006/relationships" r:embed="rId2"/>
        <a:stretch>
          <a:fillRect/>
        </a:stretch>
      </xdr:blipFill>
      <xdr:spPr>
        <a:xfrm>
          <a:off x="25366980" y="1927860"/>
          <a:ext cx="6099555" cy="177432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77D6CE-A869-4CF5-AB3F-1C1B1FFE6C57}" name="TYPE" displayName="TYPE" ref="AC2:AC6" totalsRowShown="0" headerRowDxfId="444">
  <autoFilter ref="AC2:AC6" xr:uid="{1777D6CE-A869-4CF5-AB3F-1C1B1FFE6C57}"/>
  <tableColumns count="1">
    <tableColumn id="2" xr3:uid="{86CC7123-779B-41A8-AD03-B83635F73994}" name="TYP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D74630-770B-4967-89DF-4443329B465D}" name="DIERLIJKE" displayName="DIERLIJKE" ref="AD2:AD118" totalsRowShown="0" headerRowDxfId="443">
  <autoFilter ref="AD2:AD118" xr:uid="{69D74630-770B-4967-89DF-4443329B465D}"/>
  <tableColumns count="1">
    <tableColumn id="1" xr3:uid="{291DAFF0-21DD-4D48-9901-2475A9B035BD}" name="DIERLIJK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423D96-F056-4997-906B-2BFF746CB079}" name="KUNSTMEST" displayName="KUNSTMEST" ref="AE2:AE29" totalsRowShown="0" headerRowDxfId="442">
  <autoFilter ref="AE2:AE29" xr:uid="{91423D96-F056-4997-906B-2BFF746CB079}"/>
  <tableColumns count="1">
    <tableColumn id="1" xr3:uid="{9241E356-9081-48F8-B265-5CC354E19779}" name="KUNSTMES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CA1CC7B-81C2-4B5B-AF9B-73F2E55A0DB0}" name="ANDERE" displayName="ANDERE" ref="AF2:AF38" totalsRowShown="0" headerRowDxfId="441">
  <autoFilter ref="AF2:AF38" xr:uid="{ECA1CC7B-81C2-4B5B-AF9B-73F2E55A0DB0}"/>
  <tableColumns count="1">
    <tableColumn id="1" xr3:uid="{8591C250-D6BC-4B0D-8605-449125AEB51C}" name="ANDER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E96976C-DBCB-402B-9608-F66D749F9889}" name="EIGEN_MESTSTOF" displayName="EIGEN_MESTSTOF" ref="AG2:AG5" totalsRowShown="0" headerRowDxfId="440">
  <autoFilter ref="AG2:AG5" xr:uid="{BE96976C-DBCB-402B-9608-F66D749F9889}"/>
  <tableColumns count="1">
    <tableColumn id="1" xr3:uid="{042F273D-22E2-4741-ADCF-EA7E77AF332D}" name="EIGEN_MESTSTOF"/>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153B7FC-876C-4182-AFD8-E43C07A65EDB}" name="Tabel6" displayName="Tabel6" ref="AI2:AI10" totalsRowShown="0">
  <autoFilter ref="AI2:AI10" xr:uid="{3153B7FC-876C-4182-AFD8-E43C07A65EDB}"/>
  <tableColumns count="1">
    <tableColumn id="1" xr3:uid="{07A63189-BBB2-4054-86D3-13EADDD3E792}" name="Diercategori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E26354D-65F5-484D-A074-A14DB45D5ACB}" name="Tabel7" displayName="Tabel7" ref="AJ2:AJ28" totalsRowShown="0">
  <autoFilter ref="AJ2:AJ28" xr:uid="{5E26354D-65F5-484D-A074-A14DB45D5ACB}"/>
  <tableColumns count="1">
    <tableColumn id="1" xr3:uid="{36796BF4-2970-48D1-A763-6B5005FDCDD5}" name="Melkkoeie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1CE9783-8E1F-40B1-AC4A-4F4022982422}" name="Tabel8" displayName="Tabel8" ref="AK2:AK35" totalsRowShown="0">
  <autoFilter ref="AK2:AK35" xr:uid="{31CE9783-8E1F-40B1-AC4A-4F4022982422}"/>
  <tableColumns count="1">
    <tableColumn id="1" xr3:uid="{221B0C09-B40C-4F1E-B5C7-401530D6DF4C}" name="Helperkolom_diercategori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CE0F506-956D-48F8-BBB7-EC5910B1AF68}" name="Tabel9" displayName="Tabel9" ref="AL2:AL35" totalsRowShown="0">
  <autoFilter ref="AL2:AL35" xr:uid="{DCE0F506-956D-48F8-BBB7-EC5910B1AF68}"/>
  <tableColumns count="1">
    <tableColumn id="1" xr3:uid="{A249F514-B167-410B-9AD2-C230A36125D2}" name="P2O5_uitscheiding"/>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69A9C0B-4B14-4535-B2BB-A87644167BD8}" name="Tabel10" displayName="Tabel10" ref="AM2:AM35" totalsRowShown="0">
  <autoFilter ref="AM2:AM35" xr:uid="{169A9C0B-4B14-4535-B2BB-A87644167BD8}"/>
  <tableColumns count="1">
    <tableColumn id="1" xr3:uid="{70D63CF6-FA81-4CB7-BD56-2804520A1AD0}" name="N_uitscheiding"/>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97768-D886-4845-8843-2CB5A6E474B7}">
  <dimension ref="A7:O49"/>
  <sheetViews>
    <sheetView topLeftCell="A10" workbookViewId="0">
      <selection activeCell="A12" sqref="A12"/>
    </sheetView>
  </sheetViews>
  <sheetFormatPr defaultRowHeight="14.4" x14ac:dyDescent="0.3"/>
  <sheetData>
    <row r="7" spans="1:15" ht="14.4" customHeight="1" x14ac:dyDescent="0.3">
      <c r="A7" s="220" t="s">
        <v>622</v>
      </c>
      <c r="B7" s="220"/>
      <c r="C7" s="220"/>
      <c r="D7" s="220"/>
      <c r="E7" s="220"/>
      <c r="F7" s="220"/>
      <c r="G7" s="220"/>
      <c r="H7" s="220"/>
      <c r="I7" s="220"/>
      <c r="J7" s="220"/>
      <c r="K7" s="220"/>
      <c r="L7" s="220"/>
      <c r="M7" s="220"/>
      <c r="N7" s="220"/>
      <c r="O7" s="220"/>
    </row>
    <row r="8" spans="1:15" x14ac:dyDescent="0.3">
      <c r="A8" s="220"/>
      <c r="B8" s="220"/>
      <c r="C8" s="220"/>
      <c r="D8" s="220"/>
      <c r="E8" s="220"/>
      <c r="F8" s="220"/>
      <c r="G8" s="220"/>
      <c r="H8" s="220"/>
      <c r="I8" s="220"/>
      <c r="J8" s="220"/>
      <c r="K8" s="220"/>
      <c r="L8" s="220"/>
      <c r="M8" s="220"/>
      <c r="N8" s="220"/>
      <c r="O8" s="220"/>
    </row>
    <row r="9" spans="1:15" x14ac:dyDescent="0.3">
      <c r="A9" s="220"/>
      <c r="B9" s="220"/>
      <c r="C9" s="220"/>
      <c r="D9" s="220"/>
      <c r="E9" s="220"/>
      <c r="F9" s="220"/>
      <c r="G9" s="220"/>
      <c r="H9" s="220"/>
      <c r="I9" s="220"/>
      <c r="J9" s="220"/>
      <c r="K9" s="220"/>
      <c r="L9" s="220"/>
      <c r="M9" s="220"/>
      <c r="N9" s="220"/>
      <c r="O9" s="220"/>
    </row>
    <row r="10" spans="1:15" x14ac:dyDescent="0.3">
      <c r="A10" s="153"/>
      <c r="B10" s="153"/>
      <c r="C10" s="153"/>
      <c r="D10" s="153"/>
      <c r="E10" s="153"/>
      <c r="F10" s="153"/>
      <c r="G10" s="153"/>
      <c r="H10" s="153"/>
      <c r="I10" s="153"/>
      <c r="J10" s="153"/>
      <c r="K10" s="153"/>
      <c r="L10" s="153"/>
      <c r="M10" s="153"/>
      <c r="N10" s="153"/>
      <c r="O10" s="153"/>
    </row>
    <row r="11" spans="1:15" ht="15" customHeight="1" x14ac:dyDescent="0.3">
      <c r="A11" s="221" t="s">
        <v>624</v>
      </c>
      <c r="B11" s="221"/>
      <c r="C11" s="221"/>
      <c r="D11" s="221"/>
      <c r="E11" s="221"/>
      <c r="F11" s="221"/>
      <c r="G11" s="221"/>
      <c r="H11" s="221"/>
      <c r="I11" s="221"/>
      <c r="J11" s="221"/>
      <c r="K11" s="221"/>
      <c r="L11" s="221"/>
      <c r="M11" s="221"/>
      <c r="N11" s="221"/>
      <c r="O11" s="221"/>
    </row>
    <row r="12" spans="1:15" ht="14.4" customHeight="1" x14ac:dyDescent="0.3">
      <c r="A12" s="183"/>
      <c r="B12" s="222" t="s">
        <v>625</v>
      </c>
      <c r="C12" s="222"/>
      <c r="D12" s="222"/>
      <c r="E12" s="222"/>
      <c r="F12" s="222"/>
      <c r="G12" s="222"/>
      <c r="H12" s="222"/>
      <c r="I12" s="222"/>
      <c r="J12" s="222"/>
      <c r="K12" s="222"/>
      <c r="L12" s="222"/>
      <c r="M12" s="222"/>
      <c r="N12" s="222"/>
      <c r="O12" s="222"/>
    </row>
    <row r="13" spans="1:15" x14ac:dyDescent="0.3">
      <c r="A13" s="183"/>
      <c r="B13" s="222"/>
      <c r="C13" s="222"/>
      <c r="D13" s="222"/>
      <c r="E13" s="222"/>
      <c r="F13" s="222"/>
      <c r="G13" s="222"/>
      <c r="H13" s="222"/>
      <c r="I13" s="222"/>
      <c r="J13" s="222"/>
      <c r="K13" s="222"/>
      <c r="L13" s="222"/>
      <c r="M13" s="222"/>
      <c r="N13" s="222"/>
      <c r="O13" s="222"/>
    </row>
    <row r="14" spans="1:15" ht="14.4" customHeight="1" x14ac:dyDescent="0.3">
      <c r="A14" s="184"/>
      <c r="B14" s="220" t="s">
        <v>637</v>
      </c>
      <c r="C14" s="220"/>
      <c r="D14" s="220"/>
      <c r="E14" s="220"/>
      <c r="F14" s="220"/>
      <c r="G14" s="220"/>
      <c r="H14" s="220"/>
      <c r="I14" s="220"/>
      <c r="J14" s="220"/>
      <c r="K14" s="220"/>
      <c r="L14" s="220"/>
      <c r="M14" s="220"/>
      <c r="N14" s="220"/>
      <c r="O14" s="220"/>
    </row>
    <row r="15" spans="1:15" x14ac:dyDescent="0.3">
      <c r="A15" s="184"/>
      <c r="B15" s="220"/>
      <c r="C15" s="220"/>
      <c r="D15" s="220"/>
      <c r="E15" s="220"/>
      <c r="F15" s="220"/>
      <c r="G15" s="220"/>
      <c r="H15" s="220"/>
      <c r="I15" s="220"/>
      <c r="J15" s="220"/>
      <c r="K15" s="220"/>
      <c r="L15" s="220"/>
      <c r="M15" s="220"/>
      <c r="N15" s="220"/>
      <c r="O15" s="220"/>
    </row>
    <row r="17" spans="1:15" x14ac:dyDescent="0.3">
      <c r="A17" s="223" t="s">
        <v>623</v>
      </c>
      <c r="B17" s="223"/>
      <c r="C17" s="223"/>
      <c r="D17" s="223"/>
      <c r="E17" s="223"/>
      <c r="F17" s="223"/>
      <c r="G17" s="223"/>
      <c r="H17" s="223"/>
      <c r="I17" s="223"/>
      <c r="J17" s="223"/>
      <c r="K17" s="223"/>
      <c r="L17" s="223"/>
      <c r="M17" s="223"/>
      <c r="N17" s="223"/>
      <c r="O17" s="223"/>
    </row>
    <row r="18" spans="1:15" ht="14.4" customHeight="1" x14ac:dyDescent="0.3">
      <c r="A18" s="220" t="s">
        <v>636</v>
      </c>
      <c r="B18" s="220"/>
      <c r="C18" s="220"/>
      <c r="D18" s="220"/>
      <c r="E18" s="220"/>
      <c r="F18" s="220"/>
      <c r="G18" s="220"/>
      <c r="H18" s="220"/>
      <c r="I18" s="220"/>
      <c r="J18" s="220"/>
      <c r="K18" s="220"/>
      <c r="L18" s="220"/>
      <c r="M18" s="220"/>
      <c r="N18" s="220"/>
      <c r="O18" s="220"/>
    </row>
    <row r="19" spans="1:15" x14ac:dyDescent="0.3">
      <c r="A19" s="220"/>
      <c r="B19" s="220"/>
      <c r="C19" s="220"/>
      <c r="D19" s="220"/>
      <c r="E19" s="220"/>
      <c r="F19" s="220"/>
      <c r="G19" s="220"/>
      <c r="H19" s="220"/>
      <c r="I19" s="220"/>
      <c r="J19" s="220"/>
      <c r="K19" s="220"/>
      <c r="L19" s="220"/>
      <c r="M19" s="220"/>
      <c r="N19" s="220"/>
      <c r="O19" s="220"/>
    </row>
    <row r="20" spans="1:15" x14ac:dyDescent="0.3">
      <c r="A20" s="220"/>
      <c r="B20" s="220"/>
      <c r="C20" s="220"/>
      <c r="D20" s="220"/>
      <c r="E20" s="220"/>
      <c r="F20" s="220"/>
      <c r="G20" s="220"/>
      <c r="H20" s="220"/>
      <c r="I20" s="220"/>
      <c r="J20" s="220"/>
      <c r="K20" s="220"/>
      <c r="L20" s="220"/>
      <c r="M20" s="220"/>
      <c r="N20" s="220"/>
      <c r="O20" s="220"/>
    </row>
    <row r="21" spans="1:15" x14ac:dyDescent="0.3">
      <c r="A21" s="220"/>
      <c r="B21" s="220"/>
      <c r="C21" s="220"/>
      <c r="D21" s="220"/>
      <c r="E21" s="220"/>
      <c r="F21" s="220"/>
      <c r="G21" s="220"/>
      <c r="H21" s="220"/>
      <c r="I21" s="220"/>
      <c r="J21" s="220"/>
      <c r="K21" s="220"/>
      <c r="L21" s="220"/>
      <c r="M21" s="220"/>
      <c r="N21" s="220"/>
      <c r="O21" s="220"/>
    </row>
    <row r="22" spans="1:15" x14ac:dyDescent="0.3">
      <c r="A22" s="220"/>
      <c r="B22" s="220"/>
      <c r="C22" s="220"/>
      <c r="D22" s="220"/>
      <c r="E22" s="220"/>
      <c r="F22" s="220"/>
      <c r="G22" s="220"/>
      <c r="H22" s="220"/>
      <c r="I22" s="220"/>
      <c r="J22" s="220"/>
      <c r="K22" s="220"/>
      <c r="L22" s="220"/>
      <c r="M22" s="220"/>
      <c r="N22" s="220"/>
      <c r="O22" s="220"/>
    </row>
    <row r="23" spans="1:15" x14ac:dyDescent="0.3">
      <c r="A23" s="153"/>
      <c r="B23" s="153"/>
      <c r="C23" s="153"/>
      <c r="E23" s="153"/>
      <c r="F23" s="153"/>
      <c r="G23" s="153"/>
      <c r="H23" s="153"/>
      <c r="I23" s="153"/>
      <c r="J23" s="153"/>
      <c r="K23" s="153"/>
      <c r="L23" s="153"/>
      <c r="M23" s="153"/>
      <c r="N23" s="153"/>
      <c r="O23" s="153"/>
    </row>
    <row r="25" spans="1:15" x14ac:dyDescent="0.3">
      <c r="A25" s="224" t="s">
        <v>626</v>
      </c>
      <c r="B25" s="224"/>
      <c r="C25" s="224"/>
      <c r="D25" s="224"/>
      <c r="E25" s="224"/>
      <c r="F25" s="224"/>
      <c r="G25" s="224"/>
      <c r="H25" s="224"/>
      <c r="I25" s="224"/>
      <c r="J25" s="224"/>
      <c r="K25" s="224"/>
      <c r="L25" s="224"/>
      <c r="M25" s="224"/>
      <c r="N25" s="224"/>
      <c r="O25" s="224"/>
    </row>
    <row r="26" spans="1:15" x14ac:dyDescent="0.3">
      <c r="A26" s="222" t="s">
        <v>639</v>
      </c>
      <c r="B26" s="222"/>
      <c r="C26" s="222"/>
      <c r="D26" s="222"/>
      <c r="E26" s="222"/>
      <c r="F26" s="222"/>
      <c r="G26" s="222"/>
      <c r="H26" s="222"/>
      <c r="I26" s="222"/>
      <c r="J26" s="222"/>
      <c r="K26" s="222"/>
      <c r="L26" s="222"/>
      <c r="M26" s="222"/>
      <c r="N26" s="222"/>
      <c r="O26" s="222"/>
    </row>
    <row r="27" spans="1:15" x14ac:dyDescent="0.3">
      <c r="A27" s="222"/>
      <c r="B27" s="222"/>
      <c r="C27" s="222"/>
      <c r="D27" s="222"/>
      <c r="E27" s="222"/>
      <c r="F27" s="222"/>
      <c r="G27" s="222"/>
      <c r="H27" s="222"/>
      <c r="I27" s="222"/>
      <c r="J27" s="222"/>
      <c r="K27" s="222"/>
      <c r="L27" s="222"/>
      <c r="M27" s="222"/>
      <c r="N27" s="222"/>
      <c r="O27" s="222"/>
    </row>
    <row r="28" spans="1:15" x14ac:dyDescent="0.3">
      <c r="A28" s="222"/>
      <c r="B28" s="222"/>
      <c r="C28" s="222"/>
      <c r="D28" s="222"/>
      <c r="E28" s="222"/>
      <c r="F28" s="222"/>
      <c r="G28" s="222"/>
      <c r="H28" s="222"/>
      <c r="I28" s="222"/>
      <c r="J28" s="222"/>
      <c r="K28" s="222"/>
      <c r="L28" s="222"/>
      <c r="M28" s="222"/>
      <c r="N28" s="222"/>
      <c r="O28" s="222"/>
    </row>
    <row r="29" spans="1:15" x14ac:dyDescent="0.3">
      <c r="A29" s="155"/>
      <c r="B29" s="155"/>
      <c r="C29" s="155"/>
      <c r="D29" s="155"/>
      <c r="E29" s="155"/>
      <c r="F29" s="155"/>
      <c r="G29" s="155"/>
      <c r="H29" s="155"/>
      <c r="I29" s="155"/>
      <c r="J29" s="155"/>
      <c r="K29" s="155"/>
      <c r="L29" s="155"/>
      <c r="M29" s="155"/>
      <c r="N29" s="155"/>
      <c r="O29" s="155"/>
    </row>
    <row r="31" spans="1:15" x14ac:dyDescent="0.3">
      <c r="A31" s="224" t="s">
        <v>627</v>
      </c>
      <c r="B31" s="224"/>
      <c r="C31" s="224"/>
      <c r="D31" s="224"/>
      <c r="E31" s="224"/>
      <c r="F31" s="224"/>
      <c r="G31" s="224"/>
      <c r="H31" s="224"/>
      <c r="I31" s="224"/>
      <c r="J31" s="224"/>
      <c r="K31" s="224"/>
      <c r="L31" s="224"/>
      <c r="M31" s="224"/>
      <c r="N31" s="224"/>
      <c r="O31" s="224"/>
    </row>
    <row r="32" spans="1:15" ht="14.4" customHeight="1" x14ac:dyDescent="0.3">
      <c r="A32" s="222" t="s">
        <v>638</v>
      </c>
      <c r="B32" s="222"/>
      <c r="C32" s="222"/>
      <c r="D32" s="222"/>
      <c r="E32" s="222"/>
      <c r="F32" s="222"/>
      <c r="G32" s="222"/>
      <c r="H32" s="222"/>
      <c r="I32" s="222"/>
      <c r="J32" s="222"/>
      <c r="K32" s="222"/>
      <c r="L32" s="222"/>
      <c r="M32" s="222"/>
      <c r="N32" s="222"/>
      <c r="O32" s="222"/>
    </row>
    <row r="33" spans="1:15" x14ac:dyDescent="0.3">
      <c r="A33" s="222"/>
      <c r="B33" s="222"/>
      <c r="C33" s="222"/>
      <c r="D33" s="222"/>
      <c r="E33" s="222"/>
      <c r="F33" s="222"/>
      <c r="G33" s="222"/>
      <c r="H33" s="222"/>
      <c r="I33" s="222"/>
      <c r="J33" s="222"/>
      <c r="K33" s="222"/>
      <c r="L33" s="222"/>
      <c r="M33" s="222"/>
      <c r="N33" s="222"/>
      <c r="O33" s="222"/>
    </row>
    <row r="34" spans="1:15" x14ac:dyDescent="0.3">
      <c r="A34" s="156"/>
      <c r="B34" s="156"/>
      <c r="C34" s="156"/>
      <c r="D34" s="156"/>
      <c r="E34" s="156"/>
      <c r="F34" s="156"/>
      <c r="G34" s="156"/>
      <c r="H34" s="156"/>
      <c r="I34" s="156"/>
      <c r="J34" s="156"/>
      <c r="K34" s="156"/>
      <c r="L34" s="156"/>
      <c r="M34" s="156"/>
      <c r="N34" s="156"/>
      <c r="O34" s="156"/>
    </row>
    <row r="35" spans="1:15" x14ac:dyDescent="0.3">
      <c r="A35" s="225" t="s">
        <v>629</v>
      </c>
      <c r="B35" s="225"/>
      <c r="C35" s="225"/>
      <c r="D35" s="225"/>
      <c r="E35" s="225"/>
      <c r="F35" s="225"/>
      <c r="G35" s="225"/>
      <c r="H35" s="225"/>
      <c r="I35" s="225"/>
      <c r="J35" s="225"/>
      <c r="K35" s="225"/>
      <c r="L35" s="225"/>
      <c r="M35" s="225"/>
      <c r="N35" s="225"/>
      <c r="O35" s="225"/>
    </row>
    <row r="36" spans="1:15" x14ac:dyDescent="0.3">
      <c r="A36" s="222" t="s">
        <v>630</v>
      </c>
      <c r="B36" s="222"/>
      <c r="C36" s="222"/>
      <c r="D36" s="222"/>
      <c r="E36" s="222"/>
      <c r="F36" s="222"/>
      <c r="G36" s="222"/>
      <c r="H36" s="222"/>
      <c r="I36" s="222"/>
      <c r="J36" s="222"/>
      <c r="K36" s="222"/>
      <c r="L36" s="222"/>
      <c r="M36" s="222"/>
      <c r="N36" s="222"/>
      <c r="O36" s="222"/>
    </row>
    <row r="37" spans="1:15" x14ac:dyDescent="0.3">
      <c r="A37" s="222"/>
      <c r="B37" s="222"/>
      <c r="C37" s="222"/>
      <c r="D37" s="222"/>
      <c r="E37" s="222"/>
      <c r="F37" s="222"/>
      <c r="G37" s="222"/>
      <c r="H37" s="222"/>
      <c r="I37" s="222"/>
      <c r="J37" s="222"/>
      <c r="K37" s="222"/>
      <c r="L37" s="222"/>
      <c r="M37" s="222"/>
      <c r="N37" s="222"/>
      <c r="O37" s="222"/>
    </row>
    <row r="39" spans="1:15" x14ac:dyDescent="0.3">
      <c r="A39" s="224" t="s">
        <v>631</v>
      </c>
      <c r="B39" s="224"/>
      <c r="C39" s="224"/>
      <c r="D39" s="224"/>
      <c r="E39" s="224"/>
      <c r="F39" s="224"/>
      <c r="G39" s="224"/>
      <c r="H39" s="224"/>
      <c r="I39" s="224"/>
      <c r="J39" s="224"/>
      <c r="K39" s="224"/>
      <c r="L39" s="224"/>
      <c r="M39" s="224"/>
      <c r="N39" s="224"/>
      <c r="O39" s="224"/>
    </row>
    <row r="40" spans="1:15" x14ac:dyDescent="0.3">
      <c r="A40" s="222" t="s">
        <v>632</v>
      </c>
      <c r="B40" s="222"/>
      <c r="C40" s="222"/>
      <c r="D40" s="222"/>
      <c r="E40" s="222"/>
      <c r="F40" s="222"/>
      <c r="G40" s="222"/>
      <c r="H40" s="222"/>
      <c r="I40" s="222"/>
      <c r="J40" s="222"/>
      <c r="K40" s="222"/>
      <c r="L40" s="222"/>
      <c r="M40" s="222"/>
      <c r="N40" s="222"/>
      <c r="O40" s="222"/>
    </row>
    <row r="41" spans="1:15" x14ac:dyDescent="0.3">
      <c r="A41" s="222"/>
      <c r="B41" s="222"/>
      <c r="C41" s="222"/>
      <c r="D41" s="222"/>
      <c r="E41" s="222"/>
      <c r="F41" s="222"/>
      <c r="G41" s="222"/>
      <c r="H41" s="222"/>
      <c r="I41" s="222"/>
      <c r="J41" s="222"/>
      <c r="K41" s="222"/>
      <c r="L41" s="222"/>
      <c r="M41" s="222"/>
      <c r="N41" s="222"/>
      <c r="O41" s="222"/>
    </row>
    <row r="42" spans="1:15" x14ac:dyDescent="0.3">
      <c r="A42" s="222"/>
      <c r="B42" s="222"/>
      <c r="C42" s="222"/>
      <c r="D42" s="222"/>
      <c r="E42" s="222"/>
      <c r="F42" s="222"/>
      <c r="G42" s="222"/>
      <c r="H42" s="222"/>
      <c r="I42" s="222"/>
      <c r="J42" s="222"/>
      <c r="K42" s="222"/>
      <c r="L42" s="222"/>
      <c r="M42" s="222"/>
      <c r="N42" s="222"/>
      <c r="O42" s="222"/>
    </row>
    <row r="43" spans="1:15" x14ac:dyDescent="0.3">
      <c r="A43" s="222"/>
      <c r="B43" s="222"/>
      <c r="C43" s="222"/>
      <c r="D43" s="222"/>
      <c r="E43" s="222"/>
      <c r="F43" s="222"/>
      <c r="G43" s="222"/>
      <c r="H43" s="222"/>
      <c r="I43" s="222"/>
      <c r="J43" s="222"/>
      <c r="K43" s="222"/>
      <c r="L43" s="222"/>
      <c r="M43" s="222"/>
      <c r="N43" s="222"/>
      <c r="O43" s="222"/>
    </row>
    <row r="45" spans="1:15" x14ac:dyDescent="0.3">
      <c r="A45" s="223" t="s">
        <v>634</v>
      </c>
      <c r="B45" s="223"/>
      <c r="C45" s="223"/>
      <c r="D45" s="223"/>
      <c r="E45" s="223"/>
      <c r="F45" s="223"/>
      <c r="G45" s="223"/>
      <c r="H45" s="223"/>
      <c r="I45" s="223"/>
      <c r="J45" s="223"/>
      <c r="K45" s="223"/>
      <c r="L45" s="223"/>
      <c r="M45" s="223"/>
      <c r="N45" s="223"/>
      <c r="O45" s="223"/>
    </row>
    <row r="46" spans="1:15" ht="14.4" customHeight="1" x14ac:dyDescent="0.3">
      <c r="A46" s="222" t="s">
        <v>640</v>
      </c>
      <c r="B46" s="222"/>
      <c r="C46" s="222"/>
      <c r="D46" s="222"/>
      <c r="E46" s="222"/>
      <c r="F46" s="222"/>
      <c r="G46" s="222"/>
      <c r="H46" s="222"/>
      <c r="I46" s="222"/>
      <c r="J46" s="222"/>
      <c r="K46" s="222"/>
      <c r="L46" s="222"/>
      <c r="M46" s="222"/>
      <c r="N46" s="222"/>
      <c r="O46" s="222"/>
    </row>
    <row r="47" spans="1:15" ht="14.4" customHeight="1" x14ac:dyDescent="0.3">
      <c r="A47" s="222"/>
      <c r="B47" s="222"/>
      <c r="C47" s="222"/>
      <c r="D47" s="222"/>
      <c r="E47" s="222"/>
      <c r="F47" s="222"/>
      <c r="G47" s="222"/>
      <c r="H47" s="222"/>
      <c r="I47" s="222"/>
      <c r="J47" s="222"/>
      <c r="K47" s="222"/>
      <c r="L47" s="222"/>
      <c r="M47" s="222"/>
      <c r="N47" s="222"/>
      <c r="O47" s="222"/>
    </row>
    <row r="48" spans="1:15" x14ac:dyDescent="0.3">
      <c r="A48" s="222"/>
      <c r="B48" s="222"/>
      <c r="C48" s="222"/>
      <c r="D48" s="222"/>
      <c r="E48" s="222"/>
      <c r="F48" s="222"/>
      <c r="G48" s="222"/>
      <c r="H48" s="222"/>
      <c r="I48" s="222"/>
      <c r="J48" s="222"/>
      <c r="K48" s="222"/>
      <c r="L48" s="222"/>
      <c r="M48" s="222"/>
      <c r="N48" s="222"/>
      <c r="O48" s="222"/>
    </row>
    <row r="49" spans="1:15" x14ac:dyDescent="0.3">
      <c r="A49" s="156"/>
      <c r="B49" s="156"/>
      <c r="C49" s="156"/>
      <c r="D49" s="156"/>
      <c r="E49" s="156"/>
      <c r="F49" s="156"/>
      <c r="G49" s="156"/>
      <c r="H49" s="156"/>
      <c r="I49" s="156"/>
      <c r="J49" s="156"/>
      <c r="K49" s="156"/>
      <c r="L49" s="156"/>
      <c r="M49" s="156"/>
      <c r="N49" s="156"/>
      <c r="O49" s="156"/>
    </row>
  </sheetData>
  <sheetProtection algorithmName="SHA-512" hashValue="HjYI5ZONsHQL2V+kweGppyO844ZzTGdBBxYLTJ8C8jdMt5wWH0UijdoOb0wdh2xo1CR957hlznkZzFxaJGSENA==" saltValue="WU4ha/u6NxA67A5vxO4v0g==" spinCount="100000" sheet="1" objects="1" scenarios="1" selectLockedCells="1"/>
  <mergeCells count="16">
    <mergeCell ref="A46:O48"/>
    <mergeCell ref="A18:O22"/>
    <mergeCell ref="A25:O25"/>
    <mergeCell ref="A31:O31"/>
    <mergeCell ref="A32:O33"/>
    <mergeCell ref="A35:O35"/>
    <mergeCell ref="A26:O28"/>
    <mergeCell ref="A36:O37"/>
    <mergeCell ref="A39:O39"/>
    <mergeCell ref="A40:O43"/>
    <mergeCell ref="A7:O9"/>
    <mergeCell ref="A11:O11"/>
    <mergeCell ref="B14:O15"/>
    <mergeCell ref="B12:O13"/>
    <mergeCell ref="A45:O45"/>
    <mergeCell ref="A17:O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C1F0-AA6A-493D-8278-F28B9E23E79A}">
  <dimension ref="A1:AH49"/>
  <sheetViews>
    <sheetView workbookViewId="0">
      <selection activeCell="B3" sqref="B3"/>
    </sheetView>
  </sheetViews>
  <sheetFormatPr defaultRowHeight="14.4" x14ac:dyDescent="0.3"/>
  <cols>
    <col min="1" max="1" width="17.6640625" customWidth="1"/>
    <col min="2" max="2" width="42.109375" customWidth="1"/>
    <col min="3" max="3" width="8.88671875" style="147"/>
    <col min="4" max="4" width="20.6640625" bestFit="1" customWidth="1"/>
    <col min="5" max="11" width="10.6640625" customWidth="1"/>
    <col min="12" max="15" width="10.6640625" hidden="1" customWidth="1"/>
    <col min="16" max="17" width="8.88671875" hidden="1" customWidth="1"/>
    <col min="18" max="20" width="17.88671875" hidden="1" customWidth="1"/>
    <col min="21" max="34" width="8.88671875" hidden="1" customWidth="1"/>
  </cols>
  <sheetData>
    <row r="1" spans="1:34" ht="18.600000000000001" thickBot="1" x14ac:dyDescent="0.4">
      <c r="A1" s="29" t="s">
        <v>423</v>
      </c>
      <c r="D1" t="s">
        <v>442</v>
      </c>
      <c r="U1" s="226" t="s">
        <v>443</v>
      </c>
      <c r="V1" s="226"/>
      <c r="W1" s="226"/>
      <c r="X1" s="226"/>
      <c r="Y1" s="226"/>
      <c r="Z1" s="226"/>
      <c r="AA1" s="226"/>
    </row>
    <row r="2" spans="1:34" ht="19.8" thickBot="1" x14ac:dyDescent="0.4">
      <c r="A2" s="162" t="s">
        <v>425</v>
      </c>
      <c r="B2" s="163"/>
      <c r="C2" s="147" t="s">
        <v>468</v>
      </c>
      <c r="D2" s="164" t="e">
        <f>_xlfn.CONCAT("Inhoud (",C3,")")</f>
        <v>#N/A</v>
      </c>
      <c r="E2" s="165" t="s">
        <v>428</v>
      </c>
      <c r="F2" s="165" t="s">
        <v>414</v>
      </c>
      <c r="G2" s="165" t="s">
        <v>415</v>
      </c>
      <c r="H2" s="165" t="s">
        <v>416</v>
      </c>
      <c r="I2" s="165" t="s">
        <v>417</v>
      </c>
      <c r="J2" s="165" t="s">
        <v>418</v>
      </c>
      <c r="K2" s="166" t="s">
        <v>419</v>
      </c>
      <c r="L2" s="74" t="s">
        <v>495</v>
      </c>
      <c r="M2" s="74" t="s">
        <v>496</v>
      </c>
      <c r="N2" s="74" t="s">
        <v>497</v>
      </c>
      <c r="O2" s="74" t="s">
        <v>498</v>
      </c>
      <c r="Q2" s="167" t="s">
        <v>438</v>
      </c>
      <c r="R2" s="33"/>
      <c r="S2" t="s">
        <v>466</v>
      </c>
      <c r="T2" t="s">
        <v>471</v>
      </c>
      <c r="U2" t="s">
        <v>472</v>
      </c>
      <c r="V2" t="s">
        <v>444</v>
      </c>
      <c r="W2" t="s">
        <v>445</v>
      </c>
      <c r="X2" t="s">
        <v>416</v>
      </c>
      <c r="Y2" t="s">
        <v>417</v>
      </c>
      <c r="Z2" t="s">
        <v>446</v>
      </c>
      <c r="AA2" t="s">
        <v>447</v>
      </c>
      <c r="AB2" t="s">
        <v>448</v>
      </c>
      <c r="AC2" t="s">
        <v>469</v>
      </c>
      <c r="AD2" t="s">
        <v>495</v>
      </c>
      <c r="AE2" t="s">
        <v>496</v>
      </c>
      <c r="AF2" t="s">
        <v>497</v>
      </c>
      <c r="AG2" t="s">
        <v>498</v>
      </c>
      <c r="AH2" t="s">
        <v>615</v>
      </c>
    </row>
    <row r="3" spans="1:34" x14ac:dyDescent="0.3">
      <c r="A3" s="34" t="s">
        <v>424</v>
      </c>
      <c r="B3" s="177"/>
      <c r="C3" s="147" t="e">
        <f>VLOOKUP(B4,Meststoffenlijst!E3:I184,4,FALSE)</f>
        <v>#N/A</v>
      </c>
      <c r="D3" s="34" t="s">
        <v>426</v>
      </c>
      <c r="E3" s="35" t="str">
        <f>IF(B4="","",IF(VLOOKUP(B4,Meststoffenlijst!$E$3:$AF$184,6,FALSE)=0,"",VLOOKUP(B4,Meststoffenlijst!$E$3:$AF$184,6,FALSE)))</f>
        <v/>
      </c>
      <c r="F3" s="35" t="str">
        <f>IF(B4="","",IF(VLOOKUP(B4,Meststoffenlijst!$E$3:$AF$184,10,FALSE)=0,"",VLOOKUP(B4,Meststoffenlijst!$E$3:$AF$184,10,FALSE)))</f>
        <v/>
      </c>
      <c r="G3" s="35" t="str">
        <f>IF(B4="","",IF(VLOOKUP(B4,Meststoffenlijst!$E$3:$AF$184,13,FALSE)=0,"",VLOOKUP(B4,Meststoffenlijst!$E$3:$AF$184,13,FALSE)))</f>
        <v/>
      </c>
      <c r="H3" s="35" t="str">
        <f>IF(B4="","",IF(VLOOKUP(B4,Meststoffenlijst!$E$3:$AF$184,16,FALSE)=0,"",VLOOKUP(B4,Meststoffenlijst!$E$3:$AF$184,16,FALSE)))</f>
        <v/>
      </c>
      <c r="I3" s="35" t="str">
        <f>IF(B4="","",IF(VLOOKUP(B4,Meststoffenlijst!$E$3:$AF$184,19,FALSE)=0,"",VLOOKUP(B4,Meststoffenlijst!$E$3:$AF$184,19,FALSE)))</f>
        <v/>
      </c>
      <c r="J3" s="35" t="str">
        <f>IF(B4="","",IF(VLOOKUP(B4,Meststoffenlijst!$E$3:$AF$184,22,FALSE)=0,"",VLOOKUP(B4,Meststoffenlijst!$E$3:$AF$184,22,FALSE)))</f>
        <v/>
      </c>
      <c r="K3" s="36" t="str">
        <f>IF(B4="","",IF(VLOOKUP(B4,Meststoffenlijst!$E$3:$AF$184,25,FALSE)=0,"",VLOOKUP(B4,Meststoffenlijst!$E$3:$AF$184,25,FALSE)))</f>
        <v/>
      </c>
      <c r="Q3" t="s">
        <v>425</v>
      </c>
      <c r="R3">
        <f>B7</f>
        <v>0</v>
      </c>
      <c r="S3" t="e">
        <f>C3</f>
        <v>#N/A</v>
      </c>
      <c r="T3">
        <f>IF(AB3="DIERLIJKE",IF(E4="",E3,E4),0)</f>
        <v>0</v>
      </c>
      <c r="U3">
        <f>IF(E6="",0,E6)</f>
        <v>0</v>
      </c>
      <c r="V3">
        <f t="shared" ref="V3:AA3" si="0">IF(F6="",0,F6)</f>
        <v>0</v>
      </c>
      <c r="W3">
        <f t="shared" si="0"/>
        <v>0</v>
      </c>
      <c r="X3">
        <f t="shared" si="0"/>
        <v>0</v>
      </c>
      <c r="Y3">
        <f t="shared" si="0"/>
        <v>0</v>
      </c>
      <c r="Z3">
        <f t="shared" si="0"/>
        <v>0</v>
      </c>
      <c r="AA3">
        <f t="shared" si="0"/>
        <v>0</v>
      </c>
      <c r="AB3">
        <f>B3</f>
        <v>0</v>
      </c>
      <c r="AC3" t="e">
        <f>A7</f>
        <v>#N/A</v>
      </c>
      <c r="AD3">
        <f>L6</f>
        <v>0</v>
      </c>
      <c r="AE3">
        <f t="shared" ref="AE3:AG3" si="1">M6</f>
        <v>0</v>
      </c>
      <c r="AF3">
        <f t="shared" si="1"/>
        <v>0</v>
      </c>
      <c r="AG3">
        <f t="shared" si="1"/>
        <v>0</v>
      </c>
      <c r="AH3">
        <f>B6</f>
        <v>0</v>
      </c>
    </row>
    <row r="4" spans="1:34" x14ac:dyDescent="0.3">
      <c r="A4" s="40" t="s">
        <v>434</v>
      </c>
      <c r="B4" s="178"/>
      <c r="D4" s="168" t="s">
        <v>427</v>
      </c>
      <c r="E4" s="181"/>
      <c r="F4" s="181"/>
      <c r="G4" s="181"/>
      <c r="H4" s="181"/>
      <c r="I4" s="181"/>
      <c r="J4" s="181"/>
      <c r="K4" s="182"/>
      <c r="L4" s="169"/>
      <c r="M4" s="169"/>
      <c r="N4" s="169"/>
      <c r="O4" s="169"/>
      <c r="Q4" t="s">
        <v>431</v>
      </c>
      <c r="R4">
        <f>B13</f>
        <v>0</v>
      </c>
      <c r="S4" t="e">
        <f>C9</f>
        <v>#N/A</v>
      </c>
      <c r="T4">
        <f>IF(AB4="DIERLIJKE",IF(E10="",E9,E10),0)</f>
        <v>0</v>
      </c>
      <c r="U4">
        <f>IF(E12="",0,E12)</f>
        <v>0</v>
      </c>
      <c r="V4">
        <f t="shared" ref="V4:AA4" si="2">IF(F12="",0,F12)</f>
        <v>0</v>
      </c>
      <c r="W4">
        <f t="shared" si="2"/>
        <v>0</v>
      </c>
      <c r="X4">
        <f t="shared" si="2"/>
        <v>0</v>
      </c>
      <c r="Y4">
        <f t="shared" si="2"/>
        <v>0</v>
      </c>
      <c r="Z4">
        <f t="shared" si="2"/>
        <v>0</v>
      </c>
      <c r="AA4">
        <f t="shared" si="2"/>
        <v>0</v>
      </c>
      <c r="AB4">
        <f>B9</f>
        <v>0</v>
      </c>
      <c r="AC4" t="e">
        <f>A13</f>
        <v>#N/A</v>
      </c>
      <c r="AD4">
        <f>L12</f>
        <v>0</v>
      </c>
      <c r="AE4">
        <f t="shared" ref="AE4:AG4" si="3">M12</f>
        <v>0</v>
      </c>
      <c r="AF4">
        <f t="shared" si="3"/>
        <v>0</v>
      </c>
      <c r="AG4">
        <f t="shared" si="3"/>
        <v>0</v>
      </c>
      <c r="AH4">
        <f>B12</f>
        <v>0</v>
      </c>
    </row>
    <row r="5" spans="1:34" ht="15" thickBot="1" x14ac:dyDescent="0.35">
      <c r="A5" s="40" t="s">
        <v>435</v>
      </c>
      <c r="B5" s="179"/>
      <c r="D5" s="37" t="s">
        <v>429</v>
      </c>
      <c r="E5" s="38" t="str">
        <f>IF(B4="","",IF(VLOOKUP(B4,Meststoffenlijst!$E$3:$AF$184,7,FALSE)=0,"",VLOOKUP(B4,Meststoffenlijst!$E$3:$AF$184,7,FALSE)))</f>
        <v/>
      </c>
      <c r="F5" s="38" t="str">
        <f>IF(B4="","",IF(VLOOKUP(B4,Meststoffenlijst!$E$3:$AF$184,11,FALSE)=0,"",VLOOKUP(B4,Meststoffenlijst!$E$3:$AF$184,11,FALSE)))</f>
        <v/>
      </c>
      <c r="G5" s="38" t="str">
        <f>IF(B4="","",IF(VLOOKUP(B4,Meststoffenlijst!$E$3:$AF$184,14,FALSE)=0,"",VLOOKUP(B4,Meststoffenlijst!$E$3:$AF$184,14,FALSE)))</f>
        <v/>
      </c>
      <c r="H5" s="38" t="str">
        <f>IF(B4="","",IF(VLOOKUP(B4,Meststoffenlijst!$E$3:$AF$184,17,FALSE)=0,"",VLOOKUP(B4,Meststoffenlijst!$E$3:$AF$184,17,FALSE)))</f>
        <v/>
      </c>
      <c r="I5" s="38" t="str">
        <f>IF(B4="","",IF(VLOOKUP(B4,Meststoffenlijst!$E$3:$AF$184,20,FALSE)=0,"",VLOOKUP(B4,Meststoffenlijst!$E$3:$AF$184,20,FALSE)))</f>
        <v/>
      </c>
      <c r="J5" s="38" t="str">
        <f>IF(B4="","",IF(VLOOKUP(B4,Meststoffenlijst!$E$3:$AF$184,23,FALSE)=0,"",VLOOKUP(B4,Meststoffenlijst!$E$3:$AF$184,23,FALSE)))</f>
        <v/>
      </c>
      <c r="K5" s="39" t="str">
        <f>IF(B4="","",IF(VLOOKUP(B4,Meststoffenlijst!$E$3:$AF$184,26,FALSE)=0,"",VLOOKUP(B4,Meststoffenlijst!$E$3:$AF$184,26,FALSE)))</f>
        <v/>
      </c>
      <c r="L5" t="str">
        <f>IF(B4="","",IF(VLOOKUP(B4,Meststoffenlijst!$E$3:$AJ$184,29,FALSE)=0,"",VLOOKUP(B4,Meststoffenlijst!$E$3:$AJ$184,29,FALSE)))</f>
        <v/>
      </c>
      <c r="M5" t="str">
        <f>IF(B4="","",IF(VLOOKUP(B4,Meststoffenlijst!$E$3:$AJ$184,30,FALSE)=0,"",VLOOKUP(B4,Meststoffenlijst!$E$3:$AJ$184,30,FALSE)))</f>
        <v/>
      </c>
      <c r="N5" t="str">
        <f>IF(B4="","",IF(VLOOKUP(B4,Meststoffenlijst!$E$3:$AJ$184,31,FALSE)=0,"",VLOOKUP(B4,Meststoffenlijst!$E$3:$AJ$184,31,FALSE)))</f>
        <v/>
      </c>
      <c r="O5" t="str">
        <f>IF(B4="","",IF(VLOOKUP(B4,Meststoffenlijst!$E$3:$AJ$184,32,FALSE)=0,"",VLOOKUP(B4,Meststoffenlijst!$E$3:$AJ$184,32,FALSE)))</f>
        <v/>
      </c>
      <c r="Q5" t="s">
        <v>432</v>
      </c>
      <c r="R5">
        <f>B19</f>
        <v>0</v>
      </c>
      <c r="S5" t="e">
        <f>C15</f>
        <v>#N/A</v>
      </c>
      <c r="T5">
        <f>IF(AB5="DIERLIJKE",IF(E16="",E15,E16),0)</f>
        <v>0</v>
      </c>
      <c r="U5">
        <f>IF(E18="",0,E18)</f>
        <v>0</v>
      </c>
      <c r="V5">
        <f t="shared" ref="V5:AA5" si="4">IF(F18="",0,F18)</f>
        <v>0</v>
      </c>
      <c r="W5">
        <f t="shared" si="4"/>
        <v>0</v>
      </c>
      <c r="X5">
        <f t="shared" si="4"/>
        <v>0</v>
      </c>
      <c r="Y5">
        <f t="shared" si="4"/>
        <v>0</v>
      </c>
      <c r="Z5">
        <f t="shared" si="4"/>
        <v>0</v>
      </c>
      <c r="AA5">
        <f t="shared" si="4"/>
        <v>0</v>
      </c>
      <c r="AB5">
        <f>B15</f>
        <v>0</v>
      </c>
      <c r="AC5" t="e">
        <f>A19</f>
        <v>#N/A</v>
      </c>
      <c r="AD5">
        <f>L18</f>
        <v>0</v>
      </c>
      <c r="AE5">
        <f>M18</f>
        <v>0</v>
      </c>
      <c r="AF5">
        <f>N18</f>
        <v>0</v>
      </c>
      <c r="AG5">
        <f>O18</f>
        <v>0</v>
      </c>
      <c r="AH5">
        <f>B18</f>
        <v>0</v>
      </c>
    </row>
    <row r="6" spans="1:34" ht="15" thickBot="1" x14ac:dyDescent="0.35">
      <c r="A6" s="37" t="str">
        <f>IFERROR(_xlfn.CONCAT("Prijs (EUR/",A7,")"),"")</f>
        <v/>
      </c>
      <c r="B6" s="180"/>
      <c r="D6" s="170" t="s">
        <v>430</v>
      </c>
      <c r="E6" s="171" t="str">
        <f>IF(B4="",IF(E4="","",E4),IF(E4="",IF(VLOOKUP(B4,Meststoffenlijst!$E$3:$AF$184,8,FALSE)=0,"",VLOOKUP(B4,Meststoffenlijst!$E$3:$AF$184,8,FALSE)),IF(E5="",E4,E4*E5/100)))</f>
        <v/>
      </c>
      <c r="F6" s="171" t="str">
        <f>IF(B4="",IF(F4="","",F4),IF(F4="",IF(VLOOKUP(B4,Meststoffenlijst!$E$3:$AF$184,12,FALSE)=0,"",VLOOKUP(B4,Meststoffenlijst!$E$3:$AF$184,12,FALSE)),IF(F5="",F4,F4*F5/100)))</f>
        <v/>
      </c>
      <c r="G6" s="171" t="str">
        <f>IF(B4="",IF(G4="","",G4),IF(G4="",IF(VLOOKUP(B4,Meststoffenlijst!$E$3:$AF$184,15,FALSE)=0,"",VLOOKUP(B4,Meststoffenlijst!$E$3:$AF$184,15,FALSE)),IF(G5="",G4,G4*G5/100)))</f>
        <v/>
      </c>
      <c r="H6" s="171" t="str">
        <f>IF(B4="",IF(H4="","",H4),IF(H4="",IF(VLOOKUP(B4,Meststoffenlijst!$E$3:$AF$184,18,FALSE)=0,"",VLOOKUP(B4,Meststoffenlijst!$E$3:$AF$184,18,FALSE)),IF(H5="",H4,H4*H5/100)))</f>
        <v/>
      </c>
      <c r="I6" s="171" t="str">
        <f>IF(B4="",IF(I4="","",I4),IF(I4="",IF(VLOOKUP(B4,Meststoffenlijst!$E$3:$AF$184,21,FALSE)=0,"",VLOOKUP(B4,Meststoffenlijst!$E$3:$AF$184,21,FALSE)),IF(I5="",I4,I4*I5/100)))</f>
        <v/>
      </c>
      <c r="J6" s="171" t="str">
        <f>IF(B4="",IF(J4="","",J4),IF(J4="",IF(VLOOKUP(B4,Meststoffenlijst!$E$3:$AF$184,24,FALSE)=0,"",VLOOKUP(B4,Meststoffenlijst!$E$3:$AF$184,24,FALSE)),IF(J5="",J4,J4*J5/100)))</f>
        <v/>
      </c>
      <c r="K6" s="172" t="str">
        <f>IF(B4="",IF(K4="","",K4),IF(K4="",IF(VLOOKUP(B4,Meststoffenlijst!$E$3:$AF$184,27,FALSE)=0,"",VLOOKUP(B4,Meststoffenlijst!$E$3:$AF$184,27,FALSE)),IF(K5="",K4,K4*K5/100)))</f>
        <v/>
      </c>
      <c r="L6" s="173">
        <f>IFERROR($E$6*L5/100,0)</f>
        <v>0</v>
      </c>
      <c r="M6" s="173">
        <f>IFERROR($E$6*M5/100,0)</f>
        <v>0</v>
      </c>
      <c r="N6" s="173">
        <f>IFERROR($E$6*N5/100,0)</f>
        <v>0</v>
      </c>
      <c r="O6" s="173">
        <f>IFERROR($E$6*O5/100,0)</f>
        <v>0</v>
      </c>
      <c r="Q6" t="s">
        <v>433</v>
      </c>
      <c r="R6">
        <f>B25</f>
        <v>0</v>
      </c>
      <c r="S6" t="e">
        <f>C21</f>
        <v>#N/A</v>
      </c>
      <c r="T6">
        <f>IF(AB6="DIERLIJKE",IF(E22="",E21,E22),0)</f>
        <v>0</v>
      </c>
      <c r="U6">
        <f>IF(E24="",0,E24)</f>
        <v>0</v>
      </c>
      <c r="V6">
        <f t="shared" ref="V6:AA6" si="5">IF(F24="",0,F24)</f>
        <v>0</v>
      </c>
      <c r="W6">
        <f t="shared" si="5"/>
        <v>0</v>
      </c>
      <c r="X6">
        <f t="shared" si="5"/>
        <v>0</v>
      </c>
      <c r="Y6">
        <f t="shared" si="5"/>
        <v>0</v>
      </c>
      <c r="Z6">
        <f t="shared" si="5"/>
        <v>0</v>
      </c>
      <c r="AA6">
        <f t="shared" si="5"/>
        <v>0</v>
      </c>
      <c r="AB6">
        <f>B21</f>
        <v>0</v>
      </c>
      <c r="AC6" t="e">
        <f>A25</f>
        <v>#N/A</v>
      </c>
      <c r="AD6">
        <f>L24</f>
        <v>0</v>
      </c>
      <c r="AE6">
        <f t="shared" ref="AE6:AG6" si="6">M24</f>
        <v>0</v>
      </c>
      <c r="AF6">
        <f t="shared" si="6"/>
        <v>0</v>
      </c>
      <c r="AG6">
        <f t="shared" si="6"/>
        <v>0</v>
      </c>
      <c r="AH6">
        <f>B24</f>
        <v>0</v>
      </c>
    </row>
    <row r="7" spans="1:34" ht="15" thickBot="1" x14ac:dyDescent="0.35">
      <c r="A7" s="147" t="e">
        <f>VLOOKUP(B4,Meststoffenlijst!E3:I184,5,FALSE)</f>
        <v>#N/A</v>
      </c>
      <c r="B7" s="147">
        <f>IF(B5="",B4,B5)</f>
        <v>0</v>
      </c>
      <c r="Q7" t="s">
        <v>436</v>
      </c>
      <c r="R7">
        <f>B31</f>
        <v>0</v>
      </c>
      <c r="S7" t="e">
        <f>C27</f>
        <v>#N/A</v>
      </c>
      <c r="T7">
        <f>IF(AB7="DIERLIJKE",IF(E28="",E27,E28),0)</f>
        <v>0</v>
      </c>
      <c r="U7">
        <f>IF(E30="",0,E30)</f>
        <v>0</v>
      </c>
      <c r="V7">
        <f t="shared" ref="V7:AA7" si="7">IF(F30="",0,F30)</f>
        <v>0</v>
      </c>
      <c r="W7">
        <f t="shared" si="7"/>
        <v>0</v>
      </c>
      <c r="X7">
        <f t="shared" si="7"/>
        <v>0</v>
      </c>
      <c r="Y7">
        <f t="shared" si="7"/>
        <v>0</v>
      </c>
      <c r="Z7">
        <f t="shared" si="7"/>
        <v>0</v>
      </c>
      <c r="AA7">
        <f t="shared" si="7"/>
        <v>0</v>
      </c>
      <c r="AB7">
        <f>B27</f>
        <v>0</v>
      </c>
      <c r="AC7" t="e">
        <f>A31</f>
        <v>#N/A</v>
      </c>
      <c r="AD7">
        <f>L30</f>
        <v>0</v>
      </c>
      <c r="AE7">
        <f t="shared" ref="AE7:AG7" si="8">M30</f>
        <v>0</v>
      </c>
      <c r="AF7">
        <f t="shared" si="8"/>
        <v>0</v>
      </c>
      <c r="AG7">
        <f t="shared" si="8"/>
        <v>0</v>
      </c>
      <c r="AH7">
        <f>B30</f>
        <v>0</v>
      </c>
    </row>
    <row r="8" spans="1:34" ht="19.8" thickBot="1" x14ac:dyDescent="0.4">
      <c r="A8" s="162" t="s">
        <v>431</v>
      </c>
      <c r="B8" s="163"/>
      <c r="C8" s="147" t="s">
        <v>468</v>
      </c>
      <c r="D8" s="164" t="e">
        <f>_xlfn.CONCAT("Inhoud (",C9,")")</f>
        <v>#N/A</v>
      </c>
      <c r="E8" s="165" t="s">
        <v>428</v>
      </c>
      <c r="F8" s="165" t="s">
        <v>414</v>
      </c>
      <c r="G8" s="165" t="s">
        <v>415</v>
      </c>
      <c r="H8" s="165" t="s">
        <v>416</v>
      </c>
      <c r="I8" s="165" t="s">
        <v>417</v>
      </c>
      <c r="J8" s="165" t="s">
        <v>418</v>
      </c>
      <c r="K8" s="166" t="s">
        <v>419</v>
      </c>
      <c r="L8" s="74"/>
      <c r="M8" s="74"/>
      <c r="N8" s="74"/>
      <c r="O8" s="74"/>
      <c r="Q8" t="s">
        <v>437</v>
      </c>
      <c r="R8">
        <f>B37</f>
        <v>0</v>
      </c>
      <c r="S8" t="e">
        <f>C33</f>
        <v>#N/A</v>
      </c>
      <c r="T8">
        <f>IF(AB8="DIERLIJKE",IF(E34="",E33,E34),0)</f>
        <v>0</v>
      </c>
      <c r="U8">
        <f>IF(E36="",0,E36)</f>
        <v>0</v>
      </c>
      <c r="V8">
        <f t="shared" ref="V8:AA8" si="9">IF(F36="",0,F36)</f>
        <v>0</v>
      </c>
      <c r="W8">
        <f t="shared" si="9"/>
        <v>0</v>
      </c>
      <c r="X8">
        <f t="shared" si="9"/>
        <v>0</v>
      </c>
      <c r="Y8">
        <f t="shared" si="9"/>
        <v>0</v>
      </c>
      <c r="Z8">
        <f t="shared" si="9"/>
        <v>0</v>
      </c>
      <c r="AA8">
        <f t="shared" si="9"/>
        <v>0</v>
      </c>
      <c r="AB8">
        <f>B33</f>
        <v>0</v>
      </c>
      <c r="AC8" t="e">
        <f>A37</f>
        <v>#N/A</v>
      </c>
      <c r="AD8">
        <f>L36</f>
        <v>0</v>
      </c>
      <c r="AE8">
        <f t="shared" ref="AE8:AG8" si="10">M36</f>
        <v>0</v>
      </c>
      <c r="AF8">
        <f t="shared" si="10"/>
        <v>0</v>
      </c>
      <c r="AG8">
        <f t="shared" si="10"/>
        <v>0</v>
      </c>
      <c r="AH8">
        <f>B36</f>
        <v>0</v>
      </c>
    </row>
    <row r="9" spans="1:34" x14ac:dyDescent="0.3">
      <c r="A9" s="34" t="s">
        <v>424</v>
      </c>
      <c r="B9" s="177"/>
      <c r="C9" s="147" t="e">
        <f>VLOOKUP(B10,Meststoffenlijst!E9:I190,4,FALSE)</f>
        <v>#N/A</v>
      </c>
      <c r="D9" s="34" t="s">
        <v>426</v>
      </c>
      <c r="E9" s="35" t="str">
        <f>IF(B10="","",IF(VLOOKUP(B10,Meststoffenlijst!$E$3:$AF$184,6,FALSE)=0,"",VLOOKUP(B10,Meststoffenlijst!$E$3:$AF$184,6,FALSE)))</f>
        <v/>
      </c>
      <c r="F9" s="35" t="str">
        <f>IF(B10="","",IF(VLOOKUP(B10,Meststoffenlijst!$E$3:$AF$184,10,FALSE)=0,"",VLOOKUP(B10,Meststoffenlijst!$E$3:$AF$184,10,FALSE)))</f>
        <v/>
      </c>
      <c r="G9" s="35" t="str">
        <f>IF(B10="","",IF(VLOOKUP(B10,Meststoffenlijst!$E$3:$AF$184,13,FALSE)=0,"",VLOOKUP(B10,Meststoffenlijst!$E$3:$AF$184,13,FALSE)))</f>
        <v/>
      </c>
      <c r="H9" s="35" t="str">
        <f>IF(B10="","",IF(VLOOKUP(B10,Meststoffenlijst!$E$3:$AF$184,16,FALSE)=0,"",VLOOKUP(B10,Meststoffenlijst!$E$3:$AF$184,16,FALSE)))</f>
        <v/>
      </c>
      <c r="I9" s="35" t="str">
        <f>IF(B10="","",IF(VLOOKUP(B10,Meststoffenlijst!$E$3:$AF$184,19,FALSE)=0,"",VLOOKUP(B10,Meststoffenlijst!$E$3:$AF$184,19,FALSE)))</f>
        <v/>
      </c>
      <c r="J9" s="35" t="str">
        <f>IF(B10="","",IF(VLOOKUP(B10,Meststoffenlijst!$E$3:$AF$184,22,FALSE)=0,"",VLOOKUP(B10,Meststoffenlijst!$E$3:$AF$184,22,FALSE)))</f>
        <v/>
      </c>
      <c r="K9" s="36" t="str">
        <f>IF(B10="","",IF(VLOOKUP(B10,Meststoffenlijst!$E$3:$AF$184,25,FALSE)=0,"",VLOOKUP(B10,Meststoffenlijst!$E$3:$AF$184,25,FALSE)))</f>
        <v/>
      </c>
      <c r="Q9" t="s">
        <v>527</v>
      </c>
      <c r="R9">
        <f>B43</f>
        <v>0</v>
      </c>
      <c r="S9" t="e">
        <f>C39</f>
        <v>#N/A</v>
      </c>
      <c r="T9">
        <f>IF(AB9="DIERLIJKE",IF(E40="",E39,E40),0)</f>
        <v>0</v>
      </c>
      <c r="U9">
        <f>IF(E42="",0,E42)</f>
        <v>0</v>
      </c>
      <c r="V9">
        <f t="shared" ref="V9:AA9" si="11">IF(F42="",0,F42)</f>
        <v>0</v>
      </c>
      <c r="W9">
        <f t="shared" si="11"/>
        <v>0</v>
      </c>
      <c r="X9">
        <f t="shared" si="11"/>
        <v>0</v>
      </c>
      <c r="Y9">
        <f t="shared" si="11"/>
        <v>0</v>
      </c>
      <c r="Z9">
        <f t="shared" si="11"/>
        <v>0</v>
      </c>
      <c r="AA9">
        <f t="shared" si="11"/>
        <v>0</v>
      </c>
      <c r="AB9">
        <f>B39</f>
        <v>0</v>
      </c>
      <c r="AC9" t="e">
        <f>A43</f>
        <v>#N/A</v>
      </c>
      <c r="AD9">
        <f>L42</f>
        <v>0</v>
      </c>
      <c r="AE9">
        <f t="shared" ref="AE9:AG9" si="12">M42</f>
        <v>0</v>
      </c>
      <c r="AF9">
        <f t="shared" si="12"/>
        <v>0</v>
      </c>
      <c r="AG9">
        <f t="shared" si="12"/>
        <v>0</v>
      </c>
      <c r="AH9">
        <f>B42</f>
        <v>0</v>
      </c>
    </row>
    <row r="10" spans="1:34" x14ac:dyDescent="0.3">
      <c r="A10" s="40" t="s">
        <v>434</v>
      </c>
      <c r="B10" s="178"/>
      <c r="D10" s="168" t="s">
        <v>427</v>
      </c>
      <c r="E10" s="181"/>
      <c r="F10" s="181"/>
      <c r="G10" s="181"/>
      <c r="H10" s="181"/>
      <c r="I10" s="181"/>
      <c r="J10" s="181"/>
      <c r="K10" s="182"/>
      <c r="L10" s="169"/>
      <c r="M10" s="169"/>
      <c r="N10" s="169"/>
      <c r="O10" s="169"/>
      <c r="Q10" t="s">
        <v>528</v>
      </c>
      <c r="R10">
        <f>B49</f>
        <v>0</v>
      </c>
      <c r="S10" t="e">
        <f>C45</f>
        <v>#N/A</v>
      </c>
      <c r="T10">
        <f>IF(AB10="DIERLIJKE",IF(E46="",E45,E46),0)</f>
        <v>0</v>
      </c>
      <c r="U10">
        <f>IF(E48="",0,E48)</f>
        <v>0</v>
      </c>
      <c r="V10">
        <f t="shared" ref="V10:AA10" si="13">IF(F48="",0,F48)</f>
        <v>0</v>
      </c>
      <c r="W10">
        <f t="shared" si="13"/>
        <v>0</v>
      </c>
      <c r="X10">
        <f t="shared" si="13"/>
        <v>0</v>
      </c>
      <c r="Y10">
        <f t="shared" si="13"/>
        <v>0</v>
      </c>
      <c r="Z10">
        <f t="shared" si="13"/>
        <v>0</v>
      </c>
      <c r="AA10">
        <f t="shared" si="13"/>
        <v>0</v>
      </c>
      <c r="AB10">
        <f>B45</f>
        <v>0</v>
      </c>
      <c r="AC10" t="e">
        <f>A49</f>
        <v>#N/A</v>
      </c>
      <c r="AD10">
        <f>L48</f>
        <v>0</v>
      </c>
      <c r="AE10">
        <f t="shared" ref="AE10:AG10" si="14">M48</f>
        <v>0</v>
      </c>
      <c r="AF10">
        <f t="shared" si="14"/>
        <v>0</v>
      </c>
      <c r="AG10">
        <f t="shared" si="14"/>
        <v>0</v>
      </c>
      <c r="AH10">
        <f>B48</f>
        <v>0</v>
      </c>
    </row>
    <row r="11" spans="1:34" ht="18.600000000000001" thickBot="1" x14ac:dyDescent="0.4">
      <c r="A11" s="40" t="s">
        <v>435</v>
      </c>
      <c r="B11" s="179"/>
      <c r="D11" s="37" t="s">
        <v>429</v>
      </c>
      <c r="E11" s="38" t="str">
        <f>IF(B10="","",IF(VLOOKUP(B10,Meststoffenlijst!$E$3:$AF$184,7,FALSE)=0,"",VLOOKUP(B10,Meststoffenlijst!$E$3:$AF$184,7,FALSE)))</f>
        <v/>
      </c>
      <c r="F11" s="38" t="str">
        <f>IF(B10="","",IF(VLOOKUP(B10,Meststoffenlijst!$E$3:$AF$184,11,FALSE)=0,"",VLOOKUP(B10,Meststoffenlijst!$E$3:$AF$184,11,FALSE)))</f>
        <v/>
      </c>
      <c r="G11" s="38" t="str">
        <f>IF(B10="","",IF(VLOOKUP(B10,Meststoffenlijst!$E$3:$AF$184,14,FALSE)=0,"",VLOOKUP(B10,Meststoffenlijst!$E$3:$AF$184,14,FALSE)))</f>
        <v/>
      </c>
      <c r="H11" s="38" t="str">
        <f>IF(B10="","",IF(VLOOKUP(B10,Meststoffenlijst!$E$3:$AF$184,17,FALSE)=0,"",VLOOKUP(B10,Meststoffenlijst!$E$3:$AF$184,17,FALSE)))</f>
        <v/>
      </c>
      <c r="I11" s="38" t="str">
        <f>IF(B10="","",IF(VLOOKUP(B10,Meststoffenlijst!$E$3:$AF$184,20,FALSE)=0,"",VLOOKUP(B10,Meststoffenlijst!$E$3:$AF$184,20,FALSE)))</f>
        <v/>
      </c>
      <c r="J11" s="38" t="str">
        <f>IF(B10="","",IF(VLOOKUP(B10,Meststoffenlijst!$E$3:$AF$184,23,FALSE)=0,"",VLOOKUP(B10,Meststoffenlijst!$E$3:$AF$184,23,FALSE)))</f>
        <v/>
      </c>
      <c r="K11" s="39" t="str">
        <f>IF(B10="","",IF(VLOOKUP(B10,Meststoffenlijst!$E$3:$AF$184,26,FALSE)=0,"",VLOOKUP(B10,Meststoffenlijst!$E$3:$AF$184,26,FALSE)))</f>
        <v/>
      </c>
      <c r="L11" t="str">
        <f>IF(B10="","",IF(VLOOKUP(B10,Meststoffenlijst!$E$3:$AJ$184,29,FALSE)=0,"",VLOOKUP(B10,Meststoffenlijst!$E$3:$AJ$184,29,FALSE)))</f>
        <v/>
      </c>
      <c r="M11" t="str">
        <f>IF(B10="","",IF(VLOOKUP(B10,Meststoffenlijst!$E$3:$AJ$184,30,FALSE)=0,"",VLOOKUP(B10,Meststoffenlijst!$E$3:$AJ$184,30,FALSE)))</f>
        <v/>
      </c>
      <c r="N11" t="str">
        <f>IF(B10="","",IF(VLOOKUP(B10,Meststoffenlijst!$E$3:$AJ$184,31,FALSE)=0,"",VLOOKUP(B10,Meststoffenlijst!$E$3:$AJ$184,31,FALSE)))</f>
        <v/>
      </c>
      <c r="O11" t="str">
        <f>IF(B10="","",IF(VLOOKUP(B10,Meststoffenlijst!$E$3:$AJ$184,32,FALSE)=0,"",VLOOKUP(B10,Meststoffenlijst!$E$3:$AJ$184,32,FALSE)))</f>
        <v/>
      </c>
      <c r="R11" s="174"/>
      <c r="S11" s="174"/>
      <c r="T11" s="174"/>
    </row>
    <row r="12" spans="1:34" ht="15" thickBot="1" x14ac:dyDescent="0.35">
      <c r="A12" s="37" t="str">
        <f>IFERROR(_xlfn.CONCAT("Prijs (EUR/",A13,")"),"")</f>
        <v/>
      </c>
      <c r="B12" s="180"/>
      <c r="D12" s="170" t="s">
        <v>430</v>
      </c>
      <c r="E12" s="171" t="str">
        <f>IF(B10="",IF(E10="","",E10),IF(E10="",IF(VLOOKUP(B10,Meststoffenlijst!$E$3:$AF$184,8,FALSE)=0,"",VLOOKUP(B10,Meststoffenlijst!$E$3:$AF$184,8,FALSE)),IF(E11="",E10,E10*E11/100)))</f>
        <v/>
      </c>
      <c r="F12" s="171" t="str">
        <f>IF(B10="",IF(F10="","",F10),IF(F10="",IF(VLOOKUP(B10,Meststoffenlijst!$E$3:$AF$184,12,FALSE)=0,"",VLOOKUP(B10,Meststoffenlijst!$E$3:$AF$184,12,FALSE)),IF(F11="",F10,F10*F11/100)))</f>
        <v/>
      </c>
      <c r="G12" s="171" t="str">
        <f>IF(B10="",IF(G10="","",G10),IF(G10="",IF(VLOOKUP(B10,Meststoffenlijst!$E$3:$AF$184,15,FALSE)=0,"",VLOOKUP(B10,Meststoffenlijst!$E$3:$AF$184,15,FALSE)),IF(G11="",G10,G10*G11/100)))</f>
        <v/>
      </c>
      <c r="H12" s="171" t="str">
        <f>IF(B10="",IF(H10="","",H10),IF(H10="",IF(VLOOKUP(B10,Meststoffenlijst!$E$3:$AF$184,18,FALSE)=0,"",VLOOKUP(B10,Meststoffenlijst!$E$3:$AF$184,18,FALSE)),IF(H11="",H10,H10*H11/100)))</f>
        <v/>
      </c>
      <c r="I12" s="171" t="str">
        <f>IF(B10="",IF(I10="","",I10),IF(I10="",IF(VLOOKUP(B10,Meststoffenlijst!$E$3:$AF$184,21,FALSE)=0,"",VLOOKUP(B10,Meststoffenlijst!$E$3:$AF$184,21,FALSE)),IF(I11="",I10,I10*I11/100)))</f>
        <v/>
      </c>
      <c r="J12" s="171" t="str">
        <f>IF(B10="",IF(J10="","",J10),IF(J10="",IF(VLOOKUP(B10,Meststoffenlijst!$E$3:$AF$184,24,FALSE)=0,"",VLOOKUP(B10,Meststoffenlijst!$E$3:$AF$184,24,FALSE)),IF(J11="",J10,J10*J11/100)))</f>
        <v/>
      </c>
      <c r="K12" s="172" t="str">
        <f>IF(B10="",IF(K10="","",K10),IF(K10="",IF(VLOOKUP(B10,Meststoffenlijst!$E$3:$AF$184,27,FALSE)=0,"",VLOOKUP(B10,Meststoffenlijst!$E$3:$AF$184,27,FALSE)),IF(K11="",K10,K10*K11/100)))</f>
        <v/>
      </c>
      <c r="L12" s="173">
        <f>IFERROR($E$12*L11/100,0)</f>
        <v>0</v>
      </c>
      <c r="M12" s="173">
        <f>IFERROR($E$12*M11/100,0)</f>
        <v>0</v>
      </c>
      <c r="N12" s="173">
        <f>IFERROR($E$12*N11/100,0)</f>
        <v>0</v>
      </c>
      <c r="O12" s="173">
        <f>IFERROR($E$12*O11/100,0)</f>
        <v>0</v>
      </c>
    </row>
    <row r="13" spans="1:34" ht="15" thickBot="1" x14ac:dyDescent="0.35">
      <c r="A13" s="147" t="e">
        <f>VLOOKUP(B10,Meststoffenlijst!E3:I184,5,FALSE)</f>
        <v>#N/A</v>
      </c>
      <c r="B13" s="147">
        <f>IF(B11="",B10,B11)</f>
        <v>0</v>
      </c>
    </row>
    <row r="14" spans="1:34" ht="19.8" thickBot="1" x14ac:dyDescent="0.4">
      <c r="A14" s="162" t="s">
        <v>432</v>
      </c>
      <c r="B14" s="163"/>
      <c r="C14" s="147" t="s">
        <v>468</v>
      </c>
      <c r="D14" s="164" t="e">
        <f>_xlfn.CONCAT("Inhoud (",C15,")")</f>
        <v>#N/A</v>
      </c>
      <c r="E14" s="165" t="s">
        <v>428</v>
      </c>
      <c r="F14" s="165" t="s">
        <v>414</v>
      </c>
      <c r="G14" s="165" t="s">
        <v>415</v>
      </c>
      <c r="H14" s="165" t="s">
        <v>416</v>
      </c>
      <c r="I14" s="165" t="s">
        <v>417</v>
      </c>
      <c r="J14" s="165" t="s">
        <v>418</v>
      </c>
      <c r="K14" s="166" t="s">
        <v>419</v>
      </c>
      <c r="L14" s="74"/>
      <c r="M14" s="74"/>
      <c r="N14" s="74"/>
      <c r="O14" s="74"/>
    </row>
    <row r="15" spans="1:34" x14ac:dyDescent="0.3">
      <c r="A15" s="34" t="s">
        <v>424</v>
      </c>
      <c r="B15" s="177"/>
      <c r="C15" s="147" t="e">
        <f>VLOOKUP(B16,Meststoffenlijst!E15:I196,4,FALSE)</f>
        <v>#N/A</v>
      </c>
      <c r="D15" s="34" t="s">
        <v>426</v>
      </c>
      <c r="E15" s="35" t="str">
        <f>IF(B16="","",IF(VLOOKUP(B16,Meststoffenlijst!$E$3:$AF$184,6,FALSE)=0,"",VLOOKUP(B16,Meststoffenlijst!$E$3:$AF$184,6,FALSE)))</f>
        <v/>
      </c>
      <c r="F15" s="35" t="str">
        <f>IF(B16="","",IF(VLOOKUP(B16,Meststoffenlijst!$E$3:$AF$184,10,FALSE)=0,"",VLOOKUP(B16,Meststoffenlijst!$E$3:$AF$184,10,FALSE)))</f>
        <v/>
      </c>
      <c r="G15" s="35" t="str">
        <f>IF(B16="","",IF(VLOOKUP(B16,Meststoffenlijst!$E$3:$AF$184,13,FALSE)=0,"",VLOOKUP(B16,Meststoffenlijst!$E$3:$AF$184,13,FALSE)))</f>
        <v/>
      </c>
      <c r="H15" s="175" t="str">
        <f>IF(B16="","",IF(VLOOKUP(B16,Meststoffenlijst!$E$3:$AF$184,16,FALSE)=0,"",VLOOKUP(B16,Meststoffenlijst!$E$3:$AF$184,16,FALSE)))</f>
        <v/>
      </c>
      <c r="I15" s="35" t="str">
        <f>IF(B16="","",IF(VLOOKUP(B16,Meststoffenlijst!$E$3:$AF$184,19,FALSE)=0,"",VLOOKUP(B16,Meststoffenlijst!$E$3:$AF$184,19,FALSE)))</f>
        <v/>
      </c>
      <c r="J15" s="35" t="str">
        <f>IF(B16="","",IF(VLOOKUP(B16,Meststoffenlijst!$E$3:$AF$184,22,FALSE)=0,"",VLOOKUP(B16,Meststoffenlijst!$E$3:$AF$184,22,FALSE)))</f>
        <v/>
      </c>
      <c r="K15" s="36" t="str">
        <f>IF(B16="","",IF(VLOOKUP(B16,Meststoffenlijst!$E$3:$AF$184,25,FALSE)=0,"",VLOOKUP(B16,Meststoffenlijst!$E$3:$AF$184,25,FALSE)))</f>
        <v/>
      </c>
    </row>
    <row r="16" spans="1:34" x14ac:dyDescent="0.3">
      <c r="A16" s="40" t="s">
        <v>434</v>
      </c>
      <c r="B16" s="178"/>
      <c r="D16" s="168" t="s">
        <v>427</v>
      </c>
      <c r="E16" s="181"/>
      <c r="F16" s="181"/>
      <c r="G16" s="181"/>
      <c r="H16" s="181"/>
      <c r="I16" s="181"/>
      <c r="J16" s="181"/>
      <c r="K16" s="182"/>
      <c r="L16" s="169"/>
      <c r="M16" s="169"/>
      <c r="N16" s="169"/>
      <c r="O16" s="169"/>
    </row>
    <row r="17" spans="1:15" ht="15" thickBot="1" x14ac:dyDescent="0.35">
      <c r="A17" s="40" t="s">
        <v>435</v>
      </c>
      <c r="B17" s="179"/>
      <c r="D17" s="37" t="s">
        <v>429</v>
      </c>
      <c r="E17" s="38" t="str">
        <f>IF(B16="","",IF(VLOOKUP(B16,Meststoffenlijst!$E$3:$AF$184,7,FALSE)=0,"",VLOOKUP(B16,Meststoffenlijst!$E$3:$AF$184,7,FALSE)))</f>
        <v/>
      </c>
      <c r="F17" s="38" t="str">
        <f>IF(B16="","",IF(VLOOKUP(B16,Meststoffenlijst!$E$3:$AF$184,11,FALSE)=0,"",VLOOKUP(B16,Meststoffenlijst!$E$3:$AF$184,11,FALSE)))</f>
        <v/>
      </c>
      <c r="G17" s="38" t="str">
        <f>IF(B16="","",IF(VLOOKUP(B16,Meststoffenlijst!$E$3:$AF$184,14,FALSE)=0,"",VLOOKUP(B16,Meststoffenlijst!$E$3:$AF$184,14,FALSE)))</f>
        <v/>
      </c>
      <c r="H17" s="38" t="str">
        <f>IF(B16="","",IF(VLOOKUP(B16,Meststoffenlijst!$E$3:$AF$184,17,FALSE)=0,"",VLOOKUP(B16,Meststoffenlijst!$E$3:$AF$184,17,FALSE)))</f>
        <v/>
      </c>
      <c r="I17" s="38" t="str">
        <f>IF(B16="","",IF(VLOOKUP(B16,Meststoffenlijst!$E$3:$AF$184,20,FALSE)=0,"",VLOOKUP(B16,Meststoffenlijst!$E$3:$AF$184,20,FALSE)))</f>
        <v/>
      </c>
      <c r="J17" s="38" t="str">
        <f>IF(B16="","",IF(VLOOKUP(B16,Meststoffenlijst!$E$3:$AF$184,23,FALSE)=0,"",VLOOKUP(B16,Meststoffenlijst!$E$3:$AF$184,23,FALSE)))</f>
        <v/>
      </c>
      <c r="K17" s="39" t="str">
        <f>IF(B16="","",IF(VLOOKUP(B16,Meststoffenlijst!$E$3:$AF$184,26,FALSE)=0,"",VLOOKUP(B16,Meststoffenlijst!$E$3:$AF$184,26,FALSE)))</f>
        <v/>
      </c>
      <c r="L17" s="176" t="str">
        <f>IF(B16="","",IF(VLOOKUP(B16,Meststoffenlijst!$E$3:$AJ$184,29,FALSE)=0,"",VLOOKUP(B16,Meststoffenlijst!$E$3:$AJ$184,29,FALSE)))</f>
        <v/>
      </c>
      <c r="M17" s="176" t="str">
        <f>IF(B16="","",IF(VLOOKUP(B16,Meststoffenlijst!$E$3:$AJ$184,30,FALSE)=0,"",VLOOKUP(B16,Meststoffenlijst!$E$3:$AJ$184,30,FALSE)))</f>
        <v/>
      </c>
      <c r="N17" s="176" t="str">
        <f>IF(B16="","",IF(VLOOKUP(B16,Meststoffenlijst!$E$3:$AJ$184,31,FALSE)=0,"",VLOOKUP(B16,Meststoffenlijst!$E$3:$AJ$184,31,FALSE)))</f>
        <v/>
      </c>
      <c r="O17" s="176" t="str">
        <f>IF(B16="","",IF(VLOOKUP(B16,Meststoffenlijst!$E$3:$AJ$184,32,FALSE)=0,"",VLOOKUP(B16,Meststoffenlijst!$E$3:$AJ$184,32,FALSE)))</f>
        <v/>
      </c>
    </row>
    <row r="18" spans="1:15" ht="15" thickBot="1" x14ac:dyDescent="0.35">
      <c r="A18" s="37" t="str">
        <f>IFERROR(_xlfn.CONCAT("Prijs (EUR/",A19,")"),"")</f>
        <v/>
      </c>
      <c r="B18" s="180"/>
      <c r="D18" s="170" t="s">
        <v>430</v>
      </c>
      <c r="E18" s="171" t="str">
        <f>IF(B16="",IF(E16="","",E16),IF(E16="",IF(VLOOKUP(B16,Meststoffenlijst!$E$3:$AF$184,8,FALSE)=0,"",VLOOKUP(B16,Meststoffenlijst!$E$3:$AF$184,8,FALSE)),IF(E17="",E16,E16*E17/100)))</f>
        <v/>
      </c>
      <c r="F18" s="171" t="str">
        <f>IF(B16="",IF(F16="","",F16),IF(F16="",IF(VLOOKUP(B16,Meststoffenlijst!$E$3:$AF$184,12,FALSE)=0,"",VLOOKUP(B16,Meststoffenlijst!$E$3:$AF$184,12,FALSE)),IF(F17="",F16,F16*F17/100)))</f>
        <v/>
      </c>
      <c r="G18" s="171" t="str">
        <f>IF(B16="",IF(G16="","",G16),IF(G16="",IF(VLOOKUP(B16,Meststoffenlijst!$E$3:$AF$184,15,FALSE)=0,"",VLOOKUP(B16,Meststoffenlijst!$E$3:$AF$184,15,FALSE)),IF(G17="",G16,G16*G17/100)))</f>
        <v/>
      </c>
      <c r="H18" s="171" t="str">
        <f>IF(B16="",IF(H16="","",H16),IF(H16="",IF(VLOOKUP(B16,Meststoffenlijst!$E$3:$AF$184,18,FALSE)=0,"",VLOOKUP(B16,Meststoffenlijst!$E$3:$AF$184,18,FALSE)),IF(H17="",H16,H16*H17/100)))</f>
        <v/>
      </c>
      <c r="I18" s="171" t="str">
        <f>IF(B16="",IF(I16="","",I16),IF(I16="",IF(VLOOKUP(B16,Meststoffenlijst!$E$3:$AF$184,21,FALSE)=0,"",VLOOKUP(B16,Meststoffenlijst!$E$3:$AF$184,21,FALSE)),IF(I17="",I16,I16*I17/100)))</f>
        <v/>
      </c>
      <c r="J18" s="171" t="str">
        <f>IF(B16="",IF(J16="","",J16),IF(J16="",IF(VLOOKUP(B16,Meststoffenlijst!$E$3:$AF$184,24,FALSE)=0,"",VLOOKUP(B16,Meststoffenlijst!$E$3:$AF$184,24,FALSE)),IF(J17="",J16,J16*J17/100)))</f>
        <v/>
      </c>
      <c r="K18" s="172" t="str">
        <f>IF(B16="",IF(K16="","",K16),IF(K16="",IF(VLOOKUP(B16,Meststoffenlijst!$E$3:$AF$184,27,FALSE)=0,"",VLOOKUP(B16,Meststoffenlijst!$E$3:$AF$184,27,FALSE)),IF(K17="",K16,K16*K17/100)))</f>
        <v/>
      </c>
      <c r="L18" s="173">
        <f>IFERROR($E$18*L17/100,0)</f>
        <v>0</v>
      </c>
      <c r="M18" s="173">
        <f>IFERROR($E$18*M17/100,0)</f>
        <v>0</v>
      </c>
      <c r="N18" s="173">
        <f>IFERROR($E$18*N17/100,0)</f>
        <v>0</v>
      </c>
      <c r="O18" s="173">
        <f>IFERROR($E$18*O17/100,0)</f>
        <v>0</v>
      </c>
    </row>
    <row r="19" spans="1:15" ht="15" thickBot="1" x14ac:dyDescent="0.35">
      <c r="A19" s="147" t="e">
        <f>VLOOKUP(B16,Meststoffenlijst!E3:I184,5,FALSE)</f>
        <v>#N/A</v>
      </c>
      <c r="B19" s="147">
        <f>IF(B17="",B16,B17)</f>
        <v>0</v>
      </c>
    </row>
    <row r="20" spans="1:15" ht="19.8" thickBot="1" x14ac:dyDescent="0.4">
      <c r="A20" s="162" t="s">
        <v>433</v>
      </c>
      <c r="B20" s="163"/>
      <c r="C20" s="147" t="s">
        <v>468</v>
      </c>
      <c r="D20" s="164" t="e">
        <f>_xlfn.CONCAT("Inhoud (",C21,")")</f>
        <v>#N/A</v>
      </c>
      <c r="E20" s="165" t="s">
        <v>428</v>
      </c>
      <c r="F20" s="165" t="s">
        <v>414</v>
      </c>
      <c r="G20" s="165" t="s">
        <v>415</v>
      </c>
      <c r="H20" s="165" t="s">
        <v>416</v>
      </c>
      <c r="I20" s="165" t="s">
        <v>417</v>
      </c>
      <c r="J20" s="165" t="s">
        <v>418</v>
      </c>
      <c r="K20" s="166" t="s">
        <v>419</v>
      </c>
      <c r="L20" s="74"/>
      <c r="M20" s="74"/>
      <c r="N20" s="74"/>
      <c r="O20" s="74"/>
    </row>
    <row r="21" spans="1:15" x14ac:dyDescent="0.3">
      <c r="A21" s="34" t="s">
        <v>424</v>
      </c>
      <c r="B21" s="177"/>
      <c r="C21" s="147" t="e">
        <f>VLOOKUP(B22,Meststoffenlijst!E21:I202,4,FALSE)</f>
        <v>#N/A</v>
      </c>
      <c r="D21" s="34" t="s">
        <v>426</v>
      </c>
      <c r="E21" s="35" t="str">
        <f>IF(B22="","",IF(VLOOKUP(B22,Meststoffenlijst!$E$3:$AF$184,6,FALSE)=0,"",VLOOKUP(B22,Meststoffenlijst!$E$3:$AF$184,6,FALSE)))</f>
        <v/>
      </c>
      <c r="F21" s="35" t="str">
        <f>IF(B22="","",IF(VLOOKUP(B22,Meststoffenlijst!$E$3:$AF$184,10,FALSE)=0,"",VLOOKUP(B22,Meststoffenlijst!$E$3:$AF$184,10,FALSE)))</f>
        <v/>
      </c>
      <c r="G21" s="35" t="str">
        <f>IF(B22="","",IF(VLOOKUP(B22,Meststoffenlijst!$E$3:$AF$184,13,FALSE)=0,"",VLOOKUP(B22,Meststoffenlijst!$E$3:$AF$184,13,FALSE)))</f>
        <v/>
      </c>
      <c r="H21" s="35" t="str">
        <f>IF(B22="","",IF(VLOOKUP(B22,Meststoffenlijst!$E$3:$AF$184,16,FALSE)=0,"",VLOOKUP(B22,Meststoffenlijst!$E$3:$AF$184,16,FALSE)))</f>
        <v/>
      </c>
      <c r="I21" s="35" t="str">
        <f>IF(B22="","",IF(VLOOKUP(B22,Meststoffenlijst!$E$3:$AF$184,19,FALSE)=0,"",VLOOKUP(B22,Meststoffenlijst!$E$3:$AF$184,19,FALSE)))</f>
        <v/>
      </c>
      <c r="J21" s="35" t="str">
        <f>IF(B22="","",IF(VLOOKUP(B22,Meststoffenlijst!$E$3:$AF$184,22,FALSE)=0,"",VLOOKUP(B22,Meststoffenlijst!$E$3:$AF$184,22,FALSE)))</f>
        <v/>
      </c>
      <c r="K21" s="36" t="str">
        <f>IF(B22="","",IF(VLOOKUP(B22,Meststoffenlijst!$E$3:$AF$184,25,FALSE)=0,"",VLOOKUP(B22,Meststoffenlijst!$E$3:$AF$184,25,FALSE)))</f>
        <v/>
      </c>
    </row>
    <row r="22" spans="1:15" x14ac:dyDescent="0.3">
      <c r="A22" s="40" t="s">
        <v>434</v>
      </c>
      <c r="B22" s="178"/>
      <c r="D22" s="168" t="s">
        <v>427</v>
      </c>
      <c r="E22" s="181"/>
      <c r="F22" s="181"/>
      <c r="G22" s="181"/>
      <c r="H22" s="181"/>
      <c r="I22" s="181"/>
      <c r="J22" s="181"/>
      <c r="K22" s="182"/>
      <c r="L22" s="169"/>
      <c r="M22" s="169"/>
      <c r="N22" s="169"/>
      <c r="O22" s="169"/>
    </row>
    <row r="23" spans="1:15" ht="15" thickBot="1" x14ac:dyDescent="0.35">
      <c r="A23" s="40" t="s">
        <v>435</v>
      </c>
      <c r="B23" s="179"/>
      <c r="D23" s="37" t="s">
        <v>429</v>
      </c>
      <c r="E23" s="38" t="str">
        <f>IF(B22="","",IF(VLOOKUP(B22,Meststoffenlijst!$E$3:$AF$184,7,FALSE)=0,"",VLOOKUP(B22,Meststoffenlijst!$E$3:$AF$184,7,FALSE)))</f>
        <v/>
      </c>
      <c r="F23" s="38" t="str">
        <f>IF(B22="","",IF(VLOOKUP(B22,Meststoffenlijst!$E$3:$AF$184,11,FALSE)=0,"",VLOOKUP(B22,Meststoffenlijst!$E$3:$AF$184,11,FALSE)))</f>
        <v/>
      </c>
      <c r="G23" s="38" t="str">
        <f>IF(B22="","",IF(VLOOKUP(B22,Meststoffenlijst!$E$3:$AF$184,14,FALSE)=0,"",VLOOKUP(B22,Meststoffenlijst!$E$3:$AF$184,14,FALSE)))</f>
        <v/>
      </c>
      <c r="H23" s="38" t="str">
        <f>IF(B22="","",IF(VLOOKUP(B22,Meststoffenlijst!$E$3:$AF$184,17,FALSE)=0,"",VLOOKUP(B22,Meststoffenlijst!$E$3:$AF$184,17,FALSE)))</f>
        <v/>
      </c>
      <c r="I23" s="38" t="str">
        <f>IF(B22="","",IF(VLOOKUP(B22,Meststoffenlijst!$E$3:$AF$184,20,FALSE)=0,"",VLOOKUP(B22,Meststoffenlijst!$E$3:$AF$184,20,FALSE)))</f>
        <v/>
      </c>
      <c r="J23" s="38" t="str">
        <f>IF(B22="","",IF(VLOOKUP(B22,Meststoffenlijst!$E$3:$AF$184,23,FALSE)=0,"",VLOOKUP(B22,Meststoffenlijst!$E$3:$AF$184,23,FALSE)))</f>
        <v/>
      </c>
      <c r="K23" s="39" t="str">
        <f>IF(B22="","",IF(VLOOKUP(B22,Meststoffenlijst!$E$3:$AF$184,26,FALSE)=0,"",VLOOKUP(B22,Meststoffenlijst!$E$3:$AF$184,26,FALSE)))</f>
        <v/>
      </c>
      <c r="L23" s="176" t="str">
        <f>IF(B22="","",IF(VLOOKUP(B22,Meststoffenlijst!$E$3:$AJ$184,29,FALSE)=0,"",VLOOKUP(B22,Meststoffenlijst!$E$3:$AJ$184,29,FALSE)))</f>
        <v/>
      </c>
      <c r="M23" s="176" t="str">
        <f>IF(B22="","",IF(VLOOKUP(B22,Meststoffenlijst!$E$3:$AJ$184,30,FALSE)=0,"",VLOOKUP(B22,Meststoffenlijst!$E$3:$AJ$184,30,FALSE)))</f>
        <v/>
      </c>
      <c r="N23" s="176" t="str">
        <f>IF(B22="","",IF(VLOOKUP(B22,Meststoffenlijst!$E$3:$AJ$184,31,FALSE)=0,"",VLOOKUP(B22,Meststoffenlijst!$E$3:$AJ$184,31,FALSE)))</f>
        <v/>
      </c>
      <c r="O23" s="176" t="str">
        <f>IF(B22="","",IF(VLOOKUP(B22,Meststoffenlijst!$E$3:$AJ$184,32,FALSE)=0,"",VLOOKUP(B22,Meststoffenlijst!$E$3:$AJ$184,32,FALSE)))</f>
        <v/>
      </c>
    </row>
    <row r="24" spans="1:15" ht="15" thickBot="1" x14ac:dyDescent="0.35">
      <c r="A24" s="37" t="str">
        <f>IFERROR(_xlfn.CONCAT("Prijs (EUR/",A25,")"),"")</f>
        <v/>
      </c>
      <c r="B24" s="180"/>
      <c r="D24" s="170" t="s">
        <v>430</v>
      </c>
      <c r="E24" s="171" t="str">
        <f>IF(B22="",IF(E22="","",E22),IF(E22="",IF(VLOOKUP(B22,Meststoffenlijst!$E$3:$AF$184,8,FALSE)=0,"",VLOOKUP(B22,Meststoffenlijst!$E$3:$AF$184,8,FALSE)),IF(E23="",E22,E22*E23/100)))</f>
        <v/>
      </c>
      <c r="F24" s="171" t="str">
        <f>IF(B22="",IF(F22="","",F22),IF(F22="",IF(VLOOKUP(B22,Meststoffenlijst!$E$3:$AF$184,12,FALSE)=0,"",VLOOKUP(B22,Meststoffenlijst!$E$3:$AF$184,12,FALSE)),IF(F23="",F22,F22*F23/100)))</f>
        <v/>
      </c>
      <c r="G24" s="171" t="str">
        <f>IF(B22="",IF(G22="","",G22),IF(G22="",IF(VLOOKUP(B22,Meststoffenlijst!$E$3:$AF$184,15,FALSE)=0,"",VLOOKUP(B22,Meststoffenlijst!$E$3:$AF$184,15,FALSE)),IF(G23="",G22,G22*G23/100)))</f>
        <v/>
      </c>
      <c r="H24" s="171" t="str">
        <f>IF(B22="",IF(H22="","",H22),IF(H22="",IF(VLOOKUP(B22,Meststoffenlijst!$E$3:$AF$184,18,FALSE)=0,"",VLOOKUP(B22,Meststoffenlijst!$E$3:$AF$184,18,FALSE)),IF(H23="",H22,H22*H23/100)))</f>
        <v/>
      </c>
      <c r="I24" s="171" t="str">
        <f>IF(B22="",IF(I22="","",I22),IF(I22="",IF(VLOOKUP(B22,Meststoffenlijst!$E$3:$AF$184,21,FALSE)=0,"",VLOOKUP(B22,Meststoffenlijst!$E$3:$AF$184,21,FALSE)),IF(I23="",I22,I22*I23/100)))</f>
        <v/>
      </c>
      <c r="J24" s="171" t="str">
        <f>IF(B22="",IF(J22="","",J22),IF(J22="",IF(VLOOKUP(B22,Meststoffenlijst!$E$3:$AF$184,24,FALSE)=0,"",VLOOKUP(B22,Meststoffenlijst!$E$3:$AF$184,24,FALSE)),IF(J23="",J22,J22*J23/100)))</f>
        <v/>
      </c>
      <c r="K24" s="172" t="str">
        <f>IF(B22="",IF(K22="","",K22),IF(K22="",IF(VLOOKUP(B22,Meststoffenlijst!$E$3:$AF$184,27,FALSE)=0,"",VLOOKUP(B22,Meststoffenlijst!$E$3:$AF$184,27,FALSE)),IF(K23="",K22,K22*K23/100)))</f>
        <v/>
      </c>
      <c r="L24" s="173">
        <f>IFERROR($E$24*L23/100,0)</f>
        <v>0</v>
      </c>
      <c r="M24" s="173">
        <f>IFERROR($E$24*M23/100,0)</f>
        <v>0</v>
      </c>
      <c r="N24" s="173">
        <f>IFERROR($E$24*N23/100,0)</f>
        <v>0</v>
      </c>
      <c r="O24" s="173">
        <f>IFERROR($E$24*O23/100,0)</f>
        <v>0</v>
      </c>
    </row>
    <row r="25" spans="1:15" ht="15" thickBot="1" x14ac:dyDescent="0.35">
      <c r="A25" s="147" t="e">
        <f>VLOOKUP(B22,Meststoffenlijst!E3:I184,5,FALSE)</f>
        <v>#N/A</v>
      </c>
      <c r="B25" s="147">
        <f>IF(B23="",B22,B23)</f>
        <v>0</v>
      </c>
    </row>
    <row r="26" spans="1:15" ht="19.8" thickBot="1" x14ac:dyDescent="0.4">
      <c r="A26" s="162" t="s">
        <v>436</v>
      </c>
      <c r="B26" s="163"/>
      <c r="C26" s="147" t="s">
        <v>468</v>
      </c>
      <c r="D26" s="164" t="e">
        <f>_xlfn.CONCAT("Inhoud (",C27,")")</f>
        <v>#N/A</v>
      </c>
      <c r="E26" s="165" t="s">
        <v>428</v>
      </c>
      <c r="F26" s="165" t="s">
        <v>414</v>
      </c>
      <c r="G26" s="165" t="s">
        <v>415</v>
      </c>
      <c r="H26" s="165" t="s">
        <v>416</v>
      </c>
      <c r="I26" s="165" t="s">
        <v>417</v>
      </c>
      <c r="J26" s="165" t="s">
        <v>418</v>
      </c>
      <c r="K26" s="166" t="s">
        <v>419</v>
      </c>
      <c r="L26" s="74"/>
      <c r="M26" s="74"/>
      <c r="N26" s="74"/>
      <c r="O26" s="74"/>
    </row>
    <row r="27" spans="1:15" x14ac:dyDescent="0.3">
      <c r="A27" s="34" t="s">
        <v>424</v>
      </c>
      <c r="B27" s="177"/>
      <c r="C27" s="147" t="e">
        <f>VLOOKUP(B28,Meststoffenlijst!E27:I208,4,FALSE)</f>
        <v>#N/A</v>
      </c>
      <c r="D27" s="34" t="s">
        <v>426</v>
      </c>
      <c r="E27" s="35" t="str">
        <f>IF(B28="","",IF(VLOOKUP(B28,Meststoffenlijst!$E$3:$AF$184,6,FALSE)=0,"",VLOOKUP(B28,Meststoffenlijst!$E$3:$AF$184,6,FALSE)))</f>
        <v/>
      </c>
      <c r="F27" s="35" t="str">
        <f>IF(B28="","",IF(VLOOKUP(B28,Meststoffenlijst!$E$3:$AF$184,10,FALSE)=0,"",VLOOKUP(B28,Meststoffenlijst!$E$3:$AF$184,10,FALSE)))</f>
        <v/>
      </c>
      <c r="G27" s="35" t="str">
        <f>IF(B28="","",IF(VLOOKUP(B28,Meststoffenlijst!$E$3:$AF$184,13,FALSE)=0,"",VLOOKUP(B28,Meststoffenlijst!$E$3:$AF$184,13,FALSE)))</f>
        <v/>
      </c>
      <c r="H27" s="35" t="str">
        <f>IF(B28="","",IF(VLOOKUP(B28,Meststoffenlijst!$E$3:$AF$184,16,FALSE)=0,"",VLOOKUP(B28,Meststoffenlijst!$E$3:$AF$184,16,FALSE)))</f>
        <v/>
      </c>
      <c r="I27" s="35" t="str">
        <f>IF(B28="","",IF(VLOOKUP(B28,Meststoffenlijst!$E$3:$AF$184,19,FALSE)=0,"",VLOOKUP(B28,Meststoffenlijst!$E$3:$AF$184,19,FALSE)))</f>
        <v/>
      </c>
      <c r="J27" s="35" t="str">
        <f>IF(B28="","",IF(VLOOKUP(B28,Meststoffenlijst!$E$3:$AF$184,22,FALSE)=0,"",VLOOKUP(B28,Meststoffenlijst!$E$3:$AF$184,22,FALSE)))</f>
        <v/>
      </c>
      <c r="K27" s="36" t="str">
        <f>IF(B28="","",IF(VLOOKUP(B28,Meststoffenlijst!$E$3:$AF$184,25,FALSE)=0,"",VLOOKUP(B28,Meststoffenlijst!$E$3:$AF$184,25,FALSE)))</f>
        <v/>
      </c>
    </row>
    <row r="28" spans="1:15" x14ac:dyDescent="0.3">
      <c r="A28" s="40" t="s">
        <v>434</v>
      </c>
      <c r="B28" s="178"/>
      <c r="D28" s="168" t="s">
        <v>427</v>
      </c>
      <c r="E28" s="181"/>
      <c r="F28" s="181"/>
      <c r="G28" s="181"/>
      <c r="H28" s="181"/>
      <c r="I28" s="181"/>
      <c r="J28" s="181"/>
      <c r="K28" s="182"/>
      <c r="L28" s="169"/>
      <c r="M28" s="169"/>
      <c r="N28" s="169"/>
      <c r="O28" s="169"/>
    </row>
    <row r="29" spans="1:15" ht="15" thickBot="1" x14ac:dyDescent="0.35">
      <c r="A29" s="40" t="s">
        <v>435</v>
      </c>
      <c r="B29" s="179"/>
      <c r="D29" s="37" t="s">
        <v>429</v>
      </c>
      <c r="E29" s="38" t="str">
        <f>IF(B28="","",IF(VLOOKUP(B28,Meststoffenlijst!$E$3:$AF$184,7,FALSE)=0,"",VLOOKUP(B28,Meststoffenlijst!$E$3:$AF$184,7,FALSE)))</f>
        <v/>
      </c>
      <c r="F29" s="38" t="str">
        <f>IF(B28="","",IF(VLOOKUP(B28,Meststoffenlijst!$E$3:$AF$184,11,FALSE)=0,"",VLOOKUP(B28,Meststoffenlijst!$E$3:$AF$184,11,FALSE)))</f>
        <v/>
      </c>
      <c r="G29" s="38" t="str">
        <f>IF(B28="","",IF(VLOOKUP(B28,Meststoffenlijst!$E$3:$AF$184,14,FALSE)=0,"",VLOOKUP(B28,Meststoffenlijst!$E$3:$AF$184,14,FALSE)))</f>
        <v/>
      </c>
      <c r="H29" s="38" t="str">
        <f>IF(B28="","",IF(VLOOKUP(B28,Meststoffenlijst!$E$3:$AF$184,17,FALSE)=0,"",VLOOKUP(B28,Meststoffenlijst!$E$3:$AF$184,17,FALSE)))</f>
        <v/>
      </c>
      <c r="I29" s="38" t="str">
        <f>IF(B28="","",IF(VLOOKUP(B28,Meststoffenlijst!$E$3:$AF$184,20,FALSE)=0,"",VLOOKUP(B28,Meststoffenlijst!$E$3:$AF$184,20,FALSE)))</f>
        <v/>
      </c>
      <c r="J29" s="38" t="str">
        <f>IF(B28="","",IF(VLOOKUP(B28,Meststoffenlijst!$E$3:$AF$184,23,FALSE)=0,"",VLOOKUP(B28,Meststoffenlijst!$E$3:$AF$184,23,FALSE)))</f>
        <v/>
      </c>
      <c r="K29" s="39" t="str">
        <f>IF(B28="","",IF(VLOOKUP(B28,Meststoffenlijst!$E$3:$AF$184,26,FALSE)=0,"",VLOOKUP(B28,Meststoffenlijst!$E$3:$AF$184,26,FALSE)))</f>
        <v/>
      </c>
      <c r="L29" s="176" t="str">
        <f>IF(B28="","",IF(VLOOKUP(B28,Meststoffenlijst!$E$3:$AJ$184,29,FALSE)=0,"",VLOOKUP(B28,Meststoffenlijst!$E$3:$AJ$184,29,FALSE)))</f>
        <v/>
      </c>
      <c r="M29" s="176" t="str">
        <f>IF(B28="","",IF(VLOOKUP(B28,Meststoffenlijst!$E$3:$AJ$184,30,FALSE)=0,"",VLOOKUP(B28,Meststoffenlijst!$E$3:$AJ$184,30,FALSE)))</f>
        <v/>
      </c>
      <c r="N29" s="176" t="str">
        <f>IF(B28="","",IF(VLOOKUP(B28,Meststoffenlijst!$E$3:$AJ$184,31,FALSE)=0,"",VLOOKUP(B28,Meststoffenlijst!$E$3:$AJ$184,31,FALSE)))</f>
        <v/>
      </c>
      <c r="O29" s="176" t="str">
        <f>IF(B28="","",IF(VLOOKUP(B28,Meststoffenlijst!$E$3:$AJ$184,32,FALSE)=0,"",VLOOKUP(B28,Meststoffenlijst!$E$3:$AJ$184,32,FALSE)))</f>
        <v/>
      </c>
    </row>
    <row r="30" spans="1:15" ht="15" thickBot="1" x14ac:dyDescent="0.35">
      <c r="A30" s="37" t="str">
        <f>IFERROR(_xlfn.CONCAT("Prijs (EUR/",A31,")"),"")</f>
        <v/>
      </c>
      <c r="B30" s="180"/>
      <c r="D30" s="170" t="s">
        <v>430</v>
      </c>
      <c r="E30" s="171" t="str">
        <f>IF(B28="",IF(E28="","",E28),IF(E28="",IF(VLOOKUP(B28,Meststoffenlijst!$E$3:$AF$184,8,FALSE)=0,"",VLOOKUP(B28,Meststoffenlijst!$E$3:$AF$184,8,FALSE)),IF(E29="",E28,E28*E29/100)))</f>
        <v/>
      </c>
      <c r="F30" s="171" t="str">
        <f>IF(B28="",IF(F28="","",F28),IF(F28="",IF(VLOOKUP(B28,Meststoffenlijst!$E$3:$AF$184,12,FALSE)=0,"",VLOOKUP(B28,Meststoffenlijst!$E$3:$AF$184,12,FALSE)),IF(F29="",F28,F28*F29/100)))</f>
        <v/>
      </c>
      <c r="G30" s="171" t="str">
        <f>IF(B28="",IF(G28="","",G28),IF(G28="",IF(VLOOKUP(B28,Meststoffenlijst!$E$3:$AF$184,15,FALSE)=0,"",VLOOKUP(B28,Meststoffenlijst!$E$3:$AF$184,15,FALSE)),IF(G29="",G28,G28*G29/100)))</f>
        <v/>
      </c>
      <c r="H30" s="171" t="str">
        <f>IF(B28="",IF(H28="","",H28),IF(H28="",IF(VLOOKUP(B28,Meststoffenlijst!$E$3:$AF$184,18,FALSE)=0,"",VLOOKUP(B28,Meststoffenlijst!$E$3:$AF$184,18,FALSE)),IF(H29="",H28,H28*H29/100)))</f>
        <v/>
      </c>
      <c r="I30" s="171" t="str">
        <f>IF(B28="",IF(I28="","",I28),IF(I28="",IF(VLOOKUP(B28,Meststoffenlijst!$E$3:$AF$184,21,FALSE)=0,"",VLOOKUP(B28,Meststoffenlijst!$E$3:$AF$184,21,FALSE)),IF(I29="",I28,I28*I29/100)))</f>
        <v/>
      </c>
      <c r="J30" s="171" t="str">
        <f>IF(B28="",IF(J28="","",J28),IF(J28="",IF(VLOOKUP(B28,Meststoffenlijst!$E$3:$AF$184,24,FALSE)=0,"",VLOOKUP(B28,Meststoffenlijst!$E$3:$AF$184,24,FALSE)),IF(J29="",J28,J28*J29/100)))</f>
        <v/>
      </c>
      <c r="K30" s="172" t="str">
        <f>IF(B28="",IF(K28="","",K28),IF(K28="",IF(VLOOKUP(B28,Meststoffenlijst!$E$3:$AF$184,27,FALSE)=0,"",VLOOKUP(B28,Meststoffenlijst!$E$3:$AF$184,27,FALSE)),IF(K29="",K28,K28*K29/100)))</f>
        <v/>
      </c>
      <c r="L30" s="173">
        <f>IFERROR($E$30*L29/100,0)</f>
        <v>0</v>
      </c>
      <c r="M30" s="173">
        <f>IFERROR($E$30*M29/100,0)</f>
        <v>0</v>
      </c>
      <c r="N30" s="173">
        <f>IFERROR($E$30*N29/100,0)</f>
        <v>0</v>
      </c>
      <c r="O30" s="173">
        <f>IFERROR($E$30*O29/100,0)</f>
        <v>0</v>
      </c>
    </row>
    <row r="31" spans="1:15" ht="15" thickBot="1" x14ac:dyDescent="0.35">
      <c r="A31" s="147" t="e">
        <f>VLOOKUP(B28,Meststoffenlijst!E3:I184,5,FALSE)</f>
        <v>#N/A</v>
      </c>
      <c r="B31" s="147">
        <f>IF(B29="",B28,B29)</f>
        <v>0</v>
      </c>
    </row>
    <row r="32" spans="1:15" ht="19.8" thickBot="1" x14ac:dyDescent="0.4">
      <c r="A32" s="162" t="s">
        <v>437</v>
      </c>
      <c r="B32" s="163"/>
      <c r="C32" s="147" t="s">
        <v>468</v>
      </c>
      <c r="D32" s="164" t="e">
        <f>_xlfn.CONCAT("Inhoud (",C33,")")</f>
        <v>#N/A</v>
      </c>
      <c r="E32" s="165" t="s">
        <v>428</v>
      </c>
      <c r="F32" s="165" t="s">
        <v>414</v>
      </c>
      <c r="G32" s="165" t="s">
        <v>415</v>
      </c>
      <c r="H32" s="165" t="s">
        <v>416</v>
      </c>
      <c r="I32" s="165" t="s">
        <v>417</v>
      </c>
      <c r="J32" s="165" t="s">
        <v>418</v>
      </c>
      <c r="K32" s="166" t="s">
        <v>419</v>
      </c>
      <c r="L32" s="74"/>
      <c r="M32" s="74"/>
      <c r="N32" s="74"/>
      <c r="O32" s="74"/>
    </row>
    <row r="33" spans="1:15" x14ac:dyDescent="0.3">
      <c r="A33" s="34" t="s">
        <v>424</v>
      </c>
      <c r="B33" s="177"/>
      <c r="C33" s="147" t="e">
        <f>VLOOKUP(B34,Meststoffenlijst!E33:I214,4,FALSE)</f>
        <v>#N/A</v>
      </c>
      <c r="D33" s="34" t="s">
        <v>426</v>
      </c>
      <c r="E33" s="35" t="str">
        <f>IF(B34="","",IF(VLOOKUP(B34,Meststoffenlijst!$E$3:$AF$184,6,FALSE)=0,"",VLOOKUP(B34,Meststoffenlijst!$E$3:$AF$184,6,FALSE)))</f>
        <v/>
      </c>
      <c r="F33" s="35" t="str">
        <f>IF(B34="","",IF(VLOOKUP(B34,Meststoffenlijst!$E$3:$AF$184,10,FALSE)=0,"",VLOOKUP(B34,Meststoffenlijst!$E$3:$AF$184,10,FALSE)))</f>
        <v/>
      </c>
      <c r="G33" s="35" t="str">
        <f>IF(B34="","",IF(VLOOKUP(B34,Meststoffenlijst!$E$3:$AF$184,13,FALSE)=0,"",VLOOKUP(B34,Meststoffenlijst!$E$3:$AF$184,13,FALSE)))</f>
        <v/>
      </c>
      <c r="H33" s="35" t="str">
        <f>IF(B34="","",IF(VLOOKUP(B34,Meststoffenlijst!$E$3:$AF$184,16,FALSE)=0,"",VLOOKUP(B34,Meststoffenlijst!$E$3:$AF$184,16,FALSE)))</f>
        <v/>
      </c>
      <c r="I33" s="35" t="str">
        <f>IF(B34="","",IF(VLOOKUP(B34,Meststoffenlijst!$E$3:$AF$184,19,FALSE)=0,"",VLOOKUP(B34,Meststoffenlijst!$E$3:$AF$184,19,FALSE)))</f>
        <v/>
      </c>
      <c r="J33" s="35" t="str">
        <f>IF(B34="","",IF(VLOOKUP(B34,Meststoffenlijst!$E$3:$AF$184,22,FALSE)=0,"",VLOOKUP(B34,Meststoffenlijst!$E$3:$AF$184,22,FALSE)))</f>
        <v/>
      </c>
      <c r="K33" s="36" t="str">
        <f>IF(B34="","",IF(VLOOKUP(B34,Meststoffenlijst!$E$3:$AF$184,25,FALSE)=0,"",VLOOKUP(B34,Meststoffenlijst!$E$3:$AF$184,25,FALSE)))</f>
        <v/>
      </c>
    </row>
    <row r="34" spans="1:15" x14ac:dyDescent="0.3">
      <c r="A34" s="40" t="s">
        <v>434</v>
      </c>
      <c r="B34" s="178"/>
      <c r="D34" s="168" t="s">
        <v>427</v>
      </c>
      <c r="E34" s="181"/>
      <c r="F34" s="181"/>
      <c r="G34" s="181"/>
      <c r="H34" s="181"/>
      <c r="I34" s="181"/>
      <c r="J34" s="181"/>
      <c r="K34" s="182"/>
      <c r="L34" s="169"/>
      <c r="M34" s="169"/>
      <c r="N34" s="169"/>
      <c r="O34" s="169"/>
    </row>
    <row r="35" spans="1:15" ht="15" thickBot="1" x14ac:dyDescent="0.35">
      <c r="A35" s="40" t="s">
        <v>435</v>
      </c>
      <c r="B35" s="179"/>
      <c r="D35" s="37" t="s">
        <v>429</v>
      </c>
      <c r="E35" s="38" t="str">
        <f>IF(B34="","",IF(VLOOKUP(B34,Meststoffenlijst!$E$3:$AF$184,7,FALSE)=0,"",VLOOKUP(B34,Meststoffenlijst!$E$3:$AF$184,7,FALSE)))</f>
        <v/>
      </c>
      <c r="F35" s="38" t="str">
        <f>IF(B34="","",IF(VLOOKUP(B34,Meststoffenlijst!$E$3:$AF$184,11,FALSE)=0,"",VLOOKUP(B34,Meststoffenlijst!$E$3:$AF$184,11,FALSE)))</f>
        <v/>
      </c>
      <c r="G35" s="38" t="str">
        <f>IF(B34="","",IF(VLOOKUP(B34,Meststoffenlijst!$E$3:$AF$184,14,FALSE)=0,"",VLOOKUP(B34,Meststoffenlijst!$E$3:$AF$184,14,FALSE)))</f>
        <v/>
      </c>
      <c r="H35" s="38" t="str">
        <f>IF(B34="","",IF(VLOOKUP(B34,Meststoffenlijst!$E$3:$AF$184,17,FALSE)=0,"",VLOOKUP(B34,Meststoffenlijst!$E$3:$AF$184,17,FALSE)))</f>
        <v/>
      </c>
      <c r="I35" s="38" t="str">
        <f>IF(B34="","",IF(VLOOKUP(B34,Meststoffenlijst!$E$3:$AF$184,20,FALSE)=0,"",VLOOKUP(B34,Meststoffenlijst!$E$3:$AF$184,20,FALSE)))</f>
        <v/>
      </c>
      <c r="J35" s="38" t="str">
        <f>IF(B34="","",IF(VLOOKUP(B34,Meststoffenlijst!$E$3:$AF$184,23,FALSE)=0,"",VLOOKUP(B34,Meststoffenlijst!$E$3:$AF$184,23,FALSE)))</f>
        <v/>
      </c>
      <c r="K35" s="39" t="str">
        <f>IF(B34="","",IF(VLOOKUP(B34,Meststoffenlijst!$E$3:$AF$184,26,FALSE)=0,"",VLOOKUP(B34,Meststoffenlijst!$E$3:$AF$184,26,FALSE)))</f>
        <v/>
      </c>
      <c r="L35" s="176" t="str">
        <f>IF(B34="","",IF(VLOOKUP(B34,Meststoffenlijst!$E$3:$AJ$184,29,FALSE)=0,"",VLOOKUP(B34,Meststoffenlijst!$E$3:$AJ$184,29,FALSE)))</f>
        <v/>
      </c>
      <c r="M35" s="176" t="str">
        <f>IF(B34="","",IF(VLOOKUP(B34,Meststoffenlijst!$E$3:$AJ$184,30,FALSE)=0,"",VLOOKUP(B34,Meststoffenlijst!$E$3:$AJ$184,30,FALSE)))</f>
        <v/>
      </c>
      <c r="N35" s="176" t="str">
        <f>IF(B34="","",IF(VLOOKUP(B34,Meststoffenlijst!$E$3:$AJ$184,31,FALSE)=0,"",VLOOKUP(B34,Meststoffenlijst!$E$3:$AJ$184,31,FALSE)))</f>
        <v/>
      </c>
      <c r="O35" s="176" t="str">
        <f>IF(B34="","",IF(VLOOKUP(B34,Meststoffenlijst!$E$3:$AJ$184,32,FALSE)=0,"",VLOOKUP(B34,Meststoffenlijst!$E$3:$AJ$184,32,FALSE)))</f>
        <v/>
      </c>
    </row>
    <row r="36" spans="1:15" ht="15" thickBot="1" x14ac:dyDescent="0.35">
      <c r="A36" s="37" t="str">
        <f>IFERROR(_xlfn.CONCAT("Prijs (EUR/",A37,")"),"")</f>
        <v/>
      </c>
      <c r="B36" s="180"/>
      <c r="D36" s="170" t="s">
        <v>430</v>
      </c>
      <c r="E36" s="171" t="str">
        <f>IF(B34="",IF(E34="","",E34),IF(E34="",IF(VLOOKUP(B34,Meststoffenlijst!$E$3:$AF$184,8,FALSE)=0,"",VLOOKUP(B34,Meststoffenlijst!$E$3:$AF$184,8,FALSE)),IF(E35="",E34,E34*E35/100)))</f>
        <v/>
      </c>
      <c r="F36" s="171" t="str">
        <f>IF(B34="",IF(F34="","",F34),IF(F34="",IF(VLOOKUP(B34,Meststoffenlijst!$E$3:$AF$184,12,FALSE)=0,"",VLOOKUP(B34,Meststoffenlijst!$E$3:$AF$184,12,FALSE)),IF(F35="",F34,F34*F35/100)))</f>
        <v/>
      </c>
      <c r="G36" s="171" t="str">
        <f>IF(B34="",IF(G34="","",G34),IF(G34="",IF(VLOOKUP(B34,Meststoffenlijst!$E$3:$AF$184,15,FALSE)=0,"",VLOOKUP(B34,Meststoffenlijst!$E$3:$AF$184,15,FALSE)),IF(G35="",G34,G34*G35/100)))</f>
        <v/>
      </c>
      <c r="H36" s="171" t="str">
        <f>IF(B34="",IF(H34="","",H34),IF(H34="",IF(VLOOKUP(B34,Meststoffenlijst!$E$3:$AF$184,18,FALSE)=0,"",VLOOKUP(B34,Meststoffenlijst!$E$3:$AF$184,18,FALSE)),IF(H35="",H34,H34*H35/100)))</f>
        <v/>
      </c>
      <c r="I36" s="171" t="str">
        <f>IF(B34="",IF(I34="","",I34),IF(I34="",IF(VLOOKUP(B34,Meststoffenlijst!$E$3:$AF$184,21,FALSE)=0,"",VLOOKUP(B34,Meststoffenlijst!$E$3:$AF$184,21,FALSE)),IF(I35="",I34,I34*I35/100)))</f>
        <v/>
      </c>
      <c r="J36" s="171" t="str">
        <f>IF(B34="",IF(J34="","",J34),IF(J34="",IF(VLOOKUP(B34,Meststoffenlijst!$E$3:$AF$184,24,FALSE)=0,"",VLOOKUP(B34,Meststoffenlijst!$E$3:$AF$184,24,FALSE)),IF(J35="",J34,J34*J35/100)))</f>
        <v/>
      </c>
      <c r="K36" s="172" t="str">
        <f>IF(B34="",IF(K34="","",K34),IF(K34="",IF(VLOOKUP(B34,Meststoffenlijst!$E$3:$AF$184,27,FALSE)=0,"",VLOOKUP(B34,Meststoffenlijst!$E$3:$AF$184,27,FALSE)),IF(K35="",K34,K34*K35/100)))</f>
        <v/>
      </c>
      <c r="L36" s="173">
        <f>IFERROR($E$36*L35/100,0)</f>
        <v>0</v>
      </c>
      <c r="M36" s="173">
        <f>IFERROR($E$36*M35/100,0)</f>
        <v>0</v>
      </c>
      <c r="N36" s="173">
        <f>IFERROR($E$36*N35/100,0)</f>
        <v>0</v>
      </c>
      <c r="O36" s="173">
        <f>IFERROR($E$36*O35/100,0)</f>
        <v>0</v>
      </c>
    </row>
    <row r="37" spans="1:15" ht="15" thickBot="1" x14ac:dyDescent="0.35">
      <c r="A37" s="147" t="e">
        <f>VLOOKUP(B34,Meststoffenlijst!E3:I184,5,FALSE)</f>
        <v>#N/A</v>
      </c>
      <c r="B37" s="147">
        <f>IF(B35="",B34,B35)</f>
        <v>0</v>
      </c>
    </row>
    <row r="38" spans="1:15" ht="19.8" thickBot="1" x14ac:dyDescent="0.4">
      <c r="A38" s="162" t="s">
        <v>527</v>
      </c>
      <c r="B38" s="163"/>
      <c r="C38" s="147" t="s">
        <v>468</v>
      </c>
      <c r="D38" s="164" t="e">
        <f>_xlfn.CONCAT("Inhoud (",C39,")")</f>
        <v>#N/A</v>
      </c>
      <c r="E38" s="165" t="s">
        <v>428</v>
      </c>
      <c r="F38" s="165" t="s">
        <v>414</v>
      </c>
      <c r="G38" s="165" t="s">
        <v>415</v>
      </c>
      <c r="H38" s="165" t="s">
        <v>416</v>
      </c>
      <c r="I38" s="165" t="s">
        <v>417</v>
      </c>
      <c r="J38" s="165" t="s">
        <v>418</v>
      </c>
      <c r="K38" s="166" t="s">
        <v>419</v>
      </c>
      <c r="L38" s="74"/>
      <c r="M38" s="74"/>
      <c r="N38" s="74"/>
      <c r="O38" s="74"/>
    </row>
    <row r="39" spans="1:15" x14ac:dyDescent="0.3">
      <c r="A39" s="34" t="s">
        <v>424</v>
      </c>
      <c r="B39" s="177"/>
      <c r="C39" s="147" t="e">
        <f>VLOOKUP(B40,Meststoffenlijst!E39:I220,4,FALSE)</f>
        <v>#N/A</v>
      </c>
      <c r="D39" s="34" t="s">
        <v>426</v>
      </c>
      <c r="E39" s="35" t="str">
        <f>IF(B40="","",IF(VLOOKUP(B40,Meststoffenlijst!$E$3:$AF$184,6,FALSE)=0,"",VLOOKUP(B40,Meststoffenlijst!$E$3:$AF$184,6,FALSE)))</f>
        <v/>
      </c>
      <c r="F39" s="35" t="str">
        <f>IF(B40="","",IF(VLOOKUP(B40,Meststoffenlijst!$E$3:$AF$184,10,FALSE)=0,"",VLOOKUP(B40,Meststoffenlijst!$E$3:$AF$184,10,FALSE)))</f>
        <v/>
      </c>
      <c r="G39" s="35" t="str">
        <f>IF(B40="","",IF(VLOOKUP(B40,Meststoffenlijst!$E$3:$AF$184,13,FALSE)=0,"",VLOOKUP(B40,Meststoffenlijst!$E$3:$AF$184,13,FALSE)))</f>
        <v/>
      </c>
      <c r="H39" s="35" t="str">
        <f>IF(B40="","",IF(VLOOKUP(B40,Meststoffenlijst!$E$3:$AF$184,16,FALSE)=0,"",VLOOKUP(B40,Meststoffenlijst!$E$3:$AF$184,16,FALSE)))</f>
        <v/>
      </c>
      <c r="I39" s="35" t="str">
        <f>IF(B40="","",IF(VLOOKUP(B40,Meststoffenlijst!$E$3:$AF$184,19,FALSE)=0,"",VLOOKUP(B40,Meststoffenlijst!$E$3:$AF$184,19,FALSE)))</f>
        <v/>
      </c>
      <c r="J39" s="35" t="str">
        <f>IF(B40="","",IF(VLOOKUP(B40,Meststoffenlijst!$E$3:$AF$184,22,FALSE)=0,"",VLOOKUP(B40,Meststoffenlijst!$E$3:$AF$184,22,FALSE)))</f>
        <v/>
      </c>
      <c r="K39" s="36" t="str">
        <f>IF(B40="","",IF(VLOOKUP(B40,Meststoffenlijst!$E$3:$AF$184,25,FALSE)=0,"",VLOOKUP(B40,Meststoffenlijst!$E$3:$AF$184,25,FALSE)))</f>
        <v/>
      </c>
    </row>
    <row r="40" spans="1:15" x14ac:dyDescent="0.3">
      <c r="A40" s="40" t="s">
        <v>434</v>
      </c>
      <c r="B40" s="178"/>
      <c r="D40" s="168" t="s">
        <v>427</v>
      </c>
      <c r="E40" s="181"/>
      <c r="F40" s="181"/>
      <c r="G40" s="181"/>
      <c r="H40" s="181"/>
      <c r="I40" s="181"/>
      <c r="J40" s="181"/>
      <c r="K40" s="182"/>
      <c r="L40" s="169"/>
      <c r="M40" s="169"/>
      <c r="N40" s="169"/>
      <c r="O40" s="169"/>
    </row>
    <row r="41" spans="1:15" ht="15" thickBot="1" x14ac:dyDescent="0.35">
      <c r="A41" s="40" t="s">
        <v>435</v>
      </c>
      <c r="B41" s="179"/>
      <c r="D41" s="37" t="s">
        <v>429</v>
      </c>
      <c r="E41" s="38" t="str">
        <f>IF(B40="","",IF(VLOOKUP(B40,Meststoffenlijst!$E$3:$AF$184,7,FALSE)=0,"",VLOOKUP(B40,Meststoffenlijst!$E$3:$AF$184,7,FALSE)))</f>
        <v/>
      </c>
      <c r="F41" s="38" t="str">
        <f>IF(B40="","",IF(VLOOKUP(B40,Meststoffenlijst!$E$3:$AF$184,11,FALSE)=0,"",VLOOKUP(B40,Meststoffenlijst!$E$3:$AF$184,11,FALSE)))</f>
        <v/>
      </c>
      <c r="G41" s="38" t="str">
        <f>IF(B40="","",IF(VLOOKUP(B40,Meststoffenlijst!$E$3:$AF$184,14,FALSE)=0,"",VLOOKUP(B40,Meststoffenlijst!$E$3:$AF$184,14,FALSE)))</f>
        <v/>
      </c>
      <c r="H41" s="38" t="str">
        <f>IF(B40="","",IF(VLOOKUP(B40,Meststoffenlijst!$E$3:$AF$184,17,FALSE)=0,"",VLOOKUP(B40,Meststoffenlijst!$E$3:$AF$184,17,FALSE)))</f>
        <v/>
      </c>
      <c r="I41" s="38" t="str">
        <f>IF(B40="","",IF(VLOOKUP(B40,Meststoffenlijst!$E$3:$AF$184,20,FALSE)=0,"",VLOOKUP(B40,Meststoffenlijst!$E$3:$AF$184,20,FALSE)))</f>
        <v/>
      </c>
      <c r="J41" s="38" t="str">
        <f>IF(B40="","",IF(VLOOKUP(B40,Meststoffenlijst!$E$3:$AF$184,23,FALSE)=0,"",VLOOKUP(B40,Meststoffenlijst!$E$3:$AF$184,23,FALSE)))</f>
        <v/>
      </c>
      <c r="K41" s="39" t="str">
        <f>IF(B40="","",IF(VLOOKUP(B40,Meststoffenlijst!$E$3:$AF$184,26,FALSE)=0,"",VLOOKUP(B40,Meststoffenlijst!$E$3:$AF$184,26,FALSE)))</f>
        <v/>
      </c>
      <c r="L41" s="176" t="str">
        <f>IF(B40="","",IF(VLOOKUP(B40,Meststoffenlijst!$E$3:$AJ$184,29,FALSE)=0,"",VLOOKUP(B40,Meststoffenlijst!$E$3:$AJ$184,29,FALSE)))</f>
        <v/>
      </c>
      <c r="M41" s="176" t="str">
        <f>IF(B40="","",IF(VLOOKUP(B40,Meststoffenlijst!$E$3:$AJ$184,30,FALSE)=0,"",VLOOKUP(B40,Meststoffenlijst!$E$3:$AJ$184,30,FALSE)))</f>
        <v/>
      </c>
      <c r="N41" s="176" t="str">
        <f>IF(B40="","",IF(VLOOKUP(B40,Meststoffenlijst!$E$3:$AJ$184,31,FALSE)=0,"",VLOOKUP(B40,Meststoffenlijst!$E$3:$AJ$184,31,FALSE)))</f>
        <v/>
      </c>
      <c r="O41" s="176" t="str">
        <f>IF(B40="","",IF(VLOOKUP(B40,Meststoffenlijst!$E$3:$AJ$184,32,FALSE)=0,"",VLOOKUP(B40,Meststoffenlijst!$E$3:$AJ$184,32,FALSE)))</f>
        <v/>
      </c>
    </row>
    <row r="42" spans="1:15" ht="15" thickBot="1" x14ac:dyDescent="0.35">
      <c r="A42" s="37" t="str">
        <f>IFERROR(_xlfn.CONCAT("Prijs (EUR/",A43,")"),"")</f>
        <v/>
      </c>
      <c r="B42" s="180"/>
      <c r="D42" s="170" t="s">
        <v>430</v>
      </c>
      <c r="E42" s="171" t="str">
        <f>IF(B40="",IF(E40="","",E40),IF(E40="",IF(VLOOKUP(B40,Meststoffenlijst!$E$3:$AF$184,8,FALSE)=0,"",VLOOKUP(B40,Meststoffenlijst!$E$3:$AF$184,8,FALSE)),IF(E41="",E40,E40*E41/100)))</f>
        <v/>
      </c>
      <c r="F42" s="171" t="str">
        <f>IF(B40="",IF(F40="","",F40),IF(F40="",IF(VLOOKUP(B40,Meststoffenlijst!$E$3:$AF$184,12,FALSE)=0,"",VLOOKUP(B40,Meststoffenlijst!$E$3:$AF$184,12,FALSE)),IF(F41="",F40,F40*F41/100)))</f>
        <v/>
      </c>
      <c r="G42" s="171" t="str">
        <f>IF(B40="",IF(G40="","",G40),IF(G40="",IF(VLOOKUP(B40,Meststoffenlijst!$E$3:$AF$184,15,FALSE)=0,"",VLOOKUP(B40,Meststoffenlijst!$E$3:$AF$184,15,FALSE)),IF(G41="",G40,G40*G41/100)))</f>
        <v/>
      </c>
      <c r="H42" s="171" t="str">
        <f>IF(B40="",IF(H40="","",H40),IF(H40="",IF(VLOOKUP(B40,Meststoffenlijst!$E$3:$AF$184,18,FALSE)=0,"",VLOOKUP(B40,Meststoffenlijst!$E$3:$AF$184,18,FALSE)),IF(H41="",H40,H40*H41/100)))</f>
        <v/>
      </c>
      <c r="I42" s="171" t="str">
        <f>IF(B40="",IF(I40="","",I40),IF(I40="",IF(VLOOKUP(B40,Meststoffenlijst!$E$3:$AF$184,21,FALSE)=0,"",VLOOKUP(B40,Meststoffenlijst!$E$3:$AF$184,21,FALSE)),IF(I41="",I40,I40*I41/100)))</f>
        <v/>
      </c>
      <c r="J42" s="171" t="str">
        <f>IF(B40="",IF(J40="","",J40),IF(J40="",IF(VLOOKUP(B40,Meststoffenlijst!$E$3:$AF$184,24,FALSE)=0,"",VLOOKUP(B40,Meststoffenlijst!$E$3:$AF$184,24,FALSE)),IF(J41="",J40,J40*J41/100)))</f>
        <v/>
      </c>
      <c r="K42" s="172" t="str">
        <f>IF(B40="",IF(K40="","",K40),IF(K40="",IF(VLOOKUP(B40,Meststoffenlijst!$E$3:$AF$184,27,FALSE)=0,"",VLOOKUP(B40,Meststoffenlijst!$E$3:$AF$184,27,FALSE)),IF(K41="",K40,K40*K41/100)))</f>
        <v/>
      </c>
      <c r="L42" s="173">
        <f>IFERROR($E$36*L41/100,0)</f>
        <v>0</v>
      </c>
      <c r="M42" s="173">
        <f>IFERROR($E$36*M41/100,0)</f>
        <v>0</v>
      </c>
      <c r="N42" s="173">
        <f>IFERROR($E$36*N41/100,0)</f>
        <v>0</v>
      </c>
      <c r="O42" s="173">
        <f>IFERROR($E$36*O41/100,0)</f>
        <v>0</v>
      </c>
    </row>
    <row r="43" spans="1:15" ht="15" thickBot="1" x14ac:dyDescent="0.35">
      <c r="A43" s="147" t="e">
        <f>VLOOKUP(B40,Meststoffenlijst!E9:I184,5,FALSE)</f>
        <v>#N/A</v>
      </c>
      <c r="B43" s="147">
        <f>IF(B41="",B40,B41)</f>
        <v>0</v>
      </c>
    </row>
    <row r="44" spans="1:15" ht="19.8" thickBot="1" x14ac:dyDescent="0.4">
      <c r="A44" s="162" t="s">
        <v>528</v>
      </c>
      <c r="B44" s="163"/>
      <c r="C44" s="147" t="s">
        <v>468</v>
      </c>
      <c r="D44" s="164" t="e">
        <f>_xlfn.CONCAT("Inhoud (",C45,")")</f>
        <v>#N/A</v>
      </c>
      <c r="E44" s="165" t="s">
        <v>428</v>
      </c>
      <c r="F44" s="165" t="s">
        <v>414</v>
      </c>
      <c r="G44" s="165" t="s">
        <v>415</v>
      </c>
      <c r="H44" s="165" t="s">
        <v>416</v>
      </c>
      <c r="I44" s="165" t="s">
        <v>417</v>
      </c>
      <c r="J44" s="165" t="s">
        <v>418</v>
      </c>
      <c r="K44" s="166" t="s">
        <v>419</v>
      </c>
      <c r="L44" s="74"/>
      <c r="M44" s="74"/>
      <c r="N44" s="74"/>
      <c r="O44" s="74"/>
    </row>
    <row r="45" spans="1:15" x14ac:dyDescent="0.3">
      <c r="A45" s="34" t="s">
        <v>424</v>
      </c>
      <c r="B45" s="177"/>
      <c r="C45" s="147" t="e">
        <f>VLOOKUP(B46,Meststoffenlijst!E45:I226,4,FALSE)</f>
        <v>#N/A</v>
      </c>
      <c r="D45" s="34" t="s">
        <v>426</v>
      </c>
      <c r="E45" s="35" t="str">
        <f>IF(B46="","",IF(VLOOKUP(B46,Meststoffenlijst!$E$3:$AF$184,6,FALSE)=0,"",VLOOKUP(B46,Meststoffenlijst!$E$3:$AF$184,6,FALSE)))</f>
        <v/>
      </c>
      <c r="F45" s="35" t="str">
        <f>IF(B46="","",IF(VLOOKUP(B46,Meststoffenlijst!$E$3:$AF$184,10,FALSE)=0,"",VLOOKUP(B46,Meststoffenlijst!$E$3:$AF$184,10,FALSE)))</f>
        <v/>
      </c>
      <c r="G45" s="35" t="str">
        <f>IF(B46="","",IF(VLOOKUP(B46,Meststoffenlijst!$E$3:$AF$184,13,FALSE)=0,"",VLOOKUP(B46,Meststoffenlijst!$E$3:$AF$184,13,FALSE)))</f>
        <v/>
      </c>
      <c r="H45" s="35" t="str">
        <f>IF(B46="","",IF(VLOOKUP(B46,Meststoffenlijst!$E$3:$AF$184,16,FALSE)=0,"",VLOOKUP(B46,Meststoffenlijst!$E$3:$AF$184,16,FALSE)))</f>
        <v/>
      </c>
      <c r="I45" s="35" t="str">
        <f>IF(B46="","",IF(VLOOKUP(B46,Meststoffenlijst!$E$3:$AF$184,19,FALSE)=0,"",VLOOKUP(B46,Meststoffenlijst!$E$3:$AF$184,19,FALSE)))</f>
        <v/>
      </c>
      <c r="J45" s="35" t="str">
        <f>IF(B46="","",IF(VLOOKUP(B46,Meststoffenlijst!$E$3:$AF$184,22,FALSE)=0,"",VLOOKUP(B46,Meststoffenlijst!$E$3:$AF$184,22,FALSE)))</f>
        <v/>
      </c>
      <c r="K45" s="36" t="str">
        <f>IF(B46="","",IF(VLOOKUP(B46,Meststoffenlijst!$E$3:$AF$184,25,FALSE)=0,"",VLOOKUP(B46,Meststoffenlijst!$E$3:$AF$184,25,FALSE)))</f>
        <v/>
      </c>
    </row>
    <row r="46" spans="1:15" x14ac:dyDescent="0.3">
      <c r="A46" s="40" t="s">
        <v>434</v>
      </c>
      <c r="B46" s="178"/>
      <c r="D46" s="168" t="s">
        <v>427</v>
      </c>
      <c r="E46" s="181"/>
      <c r="F46" s="181"/>
      <c r="G46" s="181"/>
      <c r="H46" s="181"/>
      <c r="I46" s="181"/>
      <c r="J46" s="181"/>
      <c r="K46" s="182"/>
      <c r="L46" s="169"/>
      <c r="M46" s="169"/>
      <c r="N46" s="169"/>
      <c r="O46" s="169"/>
    </row>
    <row r="47" spans="1:15" ht="15" thickBot="1" x14ac:dyDescent="0.35">
      <c r="A47" s="40" t="s">
        <v>435</v>
      </c>
      <c r="B47" s="179"/>
      <c r="D47" s="37" t="s">
        <v>429</v>
      </c>
      <c r="E47" s="38" t="str">
        <f>IF(B46="","",IF(VLOOKUP(B46,Meststoffenlijst!$E$3:$AF$184,7,FALSE)=0,"",VLOOKUP(B46,Meststoffenlijst!$E$3:$AF$184,7,FALSE)))</f>
        <v/>
      </c>
      <c r="F47" s="38" t="str">
        <f>IF(B46="","",IF(VLOOKUP(B46,Meststoffenlijst!$E$3:$AF$184,11,FALSE)=0,"",VLOOKUP(B46,Meststoffenlijst!$E$3:$AF$184,11,FALSE)))</f>
        <v/>
      </c>
      <c r="G47" s="38" t="str">
        <f>IF(B46="","",IF(VLOOKUP(B46,Meststoffenlijst!$E$3:$AF$184,14,FALSE)=0,"",VLOOKUP(B46,Meststoffenlijst!$E$3:$AF$184,14,FALSE)))</f>
        <v/>
      </c>
      <c r="H47" s="38" t="str">
        <f>IF(B46="","",IF(VLOOKUP(B46,Meststoffenlijst!$E$3:$AF$184,17,FALSE)=0,"",VLOOKUP(B46,Meststoffenlijst!$E$3:$AF$184,17,FALSE)))</f>
        <v/>
      </c>
      <c r="I47" s="38" t="str">
        <f>IF(B46="","",IF(VLOOKUP(B46,Meststoffenlijst!$E$3:$AF$184,20,FALSE)=0,"",VLOOKUP(B46,Meststoffenlijst!$E$3:$AF$184,20,FALSE)))</f>
        <v/>
      </c>
      <c r="J47" s="38" t="str">
        <f>IF(B46="","",IF(VLOOKUP(B46,Meststoffenlijst!$E$3:$AF$184,23,FALSE)=0,"",VLOOKUP(B46,Meststoffenlijst!$E$3:$AF$184,23,FALSE)))</f>
        <v/>
      </c>
      <c r="K47" s="39" t="str">
        <f>IF(B46="","",IF(VLOOKUP(B46,Meststoffenlijst!$E$3:$AF$184,26,FALSE)=0,"",VLOOKUP(B46,Meststoffenlijst!$E$3:$AF$184,26,FALSE)))</f>
        <v/>
      </c>
      <c r="L47" s="176" t="str">
        <f>IF(B46="","",IF(VLOOKUP(B46,Meststoffenlijst!$E$3:$AJ$184,29,FALSE)=0,"",VLOOKUP(B46,Meststoffenlijst!$E$3:$AJ$184,29,FALSE)))</f>
        <v/>
      </c>
      <c r="M47" s="176" t="str">
        <f>IF(B46="","",IF(VLOOKUP(B46,Meststoffenlijst!$E$3:$AJ$184,30,FALSE)=0,"",VLOOKUP(B46,Meststoffenlijst!$E$3:$AJ$184,30,FALSE)))</f>
        <v/>
      </c>
      <c r="N47" s="176" t="str">
        <f>IF(B46="","",IF(VLOOKUP(B46,Meststoffenlijst!$E$3:$AJ$184,31,FALSE)=0,"",VLOOKUP(B46,Meststoffenlijst!$E$3:$AJ$184,31,FALSE)))</f>
        <v/>
      </c>
      <c r="O47" s="176" t="str">
        <f>IF(B46="","",IF(VLOOKUP(B46,Meststoffenlijst!$E$3:$AJ$184,32,FALSE)=0,"",VLOOKUP(B46,Meststoffenlijst!$E$3:$AJ$184,32,FALSE)))</f>
        <v/>
      </c>
    </row>
    <row r="48" spans="1:15" ht="15" thickBot="1" x14ac:dyDescent="0.35">
      <c r="A48" s="37" t="str">
        <f>IFERROR(_xlfn.CONCAT("Prijs (EUR/",A49,")"),"")</f>
        <v/>
      </c>
      <c r="B48" s="180"/>
      <c r="D48" s="170" t="s">
        <v>430</v>
      </c>
      <c r="E48" s="171" t="str">
        <f>IF(B46="",IF(E46="","",E46),IF(E46="",IF(VLOOKUP(B46,Meststoffenlijst!$E$3:$AF$184,8,FALSE)=0,"",VLOOKUP(B46,Meststoffenlijst!$E$3:$AF$184,8,FALSE)),IF(E47="",E46,E46*E47/100)))</f>
        <v/>
      </c>
      <c r="F48" s="171" t="str">
        <f>IF(B46="",IF(F46="","",F46),IF(F46="",IF(VLOOKUP(B46,Meststoffenlijst!$E$3:$AF$184,12,FALSE)=0,"",VLOOKUP(B46,Meststoffenlijst!$E$3:$AF$184,12,FALSE)),IF(F47="",F46,F46*F47/100)))</f>
        <v/>
      </c>
      <c r="G48" s="171" t="str">
        <f>IF(B46="",IF(G46="","",G46),IF(G46="",IF(VLOOKUP(B46,Meststoffenlijst!$E$3:$AF$184,15,FALSE)=0,"",VLOOKUP(B46,Meststoffenlijst!$E$3:$AF$184,15,FALSE)),IF(G47="",G46,G46*G47/100)))</f>
        <v/>
      </c>
      <c r="H48" s="171" t="str">
        <f>IF(B46="",IF(H46="","",H46),IF(H46="",IF(VLOOKUP(B46,Meststoffenlijst!$E$3:$AF$184,18,FALSE)=0,"",VLOOKUP(B46,Meststoffenlijst!$E$3:$AF$184,18,FALSE)),IF(H47="",H46,H46*H47/100)))</f>
        <v/>
      </c>
      <c r="I48" s="171" t="str">
        <f>IF(B46="",IF(I46="","",I46),IF(I46="",IF(VLOOKUP(B46,Meststoffenlijst!$E$3:$AF$184,21,FALSE)=0,"",VLOOKUP(B46,Meststoffenlijst!$E$3:$AF$184,21,FALSE)),IF(I47="",I46,I46*I47/100)))</f>
        <v/>
      </c>
      <c r="J48" s="171" t="str">
        <f>IF(B46="",IF(J46="","",J46),IF(J46="",IF(VLOOKUP(B46,Meststoffenlijst!$E$3:$AF$184,24,FALSE)=0,"",VLOOKUP(B46,Meststoffenlijst!$E$3:$AF$184,24,FALSE)),IF(J47="",J46,J46*J47/100)))</f>
        <v/>
      </c>
      <c r="K48" s="172" t="str">
        <f>IF(B46="",IF(K46="","",K46),IF(K46="",IF(VLOOKUP(B46,Meststoffenlijst!$E$3:$AF$184,27,FALSE)=0,"",VLOOKUP(B46,Meststoffenlijst!$E$3:$AF$184,27,FALSE)),IF(K47="",K46,K46*K47/100)))</f>
        <v/>
      </c>
      <c r="L48" s="173">
        <f>IFERROR($E$36*L47/100,0)</f>
        <v>0</v>
      </c>
      <c r="M48" s="173">
        <f>IFERROR($E$36*M47/100,0)</f>
        <v>0</v>
      </c>
      <c r="N48" s="173">
        <f>IFERROR($E$36*N47/100,0)</f>
        <v>0</v>
      </c>
      <c r="O48" s="173">
        <f>IFERROR($E$36*O47/100,0)</f>
        <v>0</v>
      </c>
    </row>
    <row r="49" spans="1:2" x14ac:dyDescent="0.3">
      <c r="A49" s="147" t="e">
        <f>VLOOKUP(B46,Meststoffenlijst!E15:I190,5,FALSE)</f>
        <v>#N/A</v>
      </c>
      <c r="B49" s="147">
        <f>IF(B47="",B46,B47)</f>
        <v>0</v>
      </c>
    </row>
  </sheetData>
  <sheetProtection algorithmName="SHA-512" hashValue="jPqV7lVO1kvXdFvGGpWhKDTEd3eaX5Hr/5sHOSWFXwvdIOAndqBA0Wfbd+whYzazuMTdibjV8ckcbWrNREEYxA==" saltValue="d/nnIwkpZR/lKRzUJGyofA==" spinCount="100000" sheet="1" objects="1" scenarios="1" selectLockedCells="1"/>
  <mergeCells count="1">
    <mergeCell ref="U1:AA1"/>
  </mergeCells>
  <phoneticPr fontId="1" type="noConversion"/>
  <dataValidations count="10">
    <dataValidation type="list" allowBlank="1" showInputMessage="1" showErrorMessage="1" sqref="B4" xr:uid="{15EC68E7-FED0-40AA-824C-293316800EF3}">
      <formula1>INDIRECT($B$3)</formula1>
    </dataValidation>
    <dataValidation type="list" allowBlank="1" showInputMessage="1" showErrorMessage="1" sqref="B10" xr:uid="{3244F06D-17E4-4E4E-ADEB-B6EB03C4F1AB}">
      <formula1>INDIRECT($B$9)</formula1>
    </dataValidation>
    <dataValidation type="list" allowBlank="1" showInputMessage="1" showErrorMessage="1" sqref="B16" xr:uid="{18D763A5-4307-42B4-AC15-CE22F8CE82F9}">
      <formula1>INDIRECT($B$15)</formula1>
    </dataValidation>
    <dataValidation type="list" allowBlank="1" showInputMessage="1" showErrorMessage="1" sqref="B22" xr:uid="{EA4227CA-79EC-45DB-9975-CD8D7FDA3AD9}">
      <formula1>INDIRECT($B$21)</formula1>
    </dataValidation>
    <dataValidation type="list" allowBlank="1" showInputMessage="1" showErrorMessage="1" sqref="B28" xr:uid="{672133EF-00B7-4575-B32A-F727A27F6964}">
      <formula1>INDIRECT($B$27)</formula1>
    </dataValidation>
    <dataValidation type="list" allowBlank="1" showInputMessage="1" showErrorMessage="1" sqref="B34" xr:uid="{F631E8C4-D68A-47A9-A844-E04F34FDE3BB}">
      <formula1>INDIRECT($B$33)</formula1>
    </dataValidation>
    <dataValidation type="list" allowBlank="1" showInputMessage="1" showErrorMessage="1" sqref="B40" xr:uid="{B9C93942-4A5B-42BD-9CC6-AE30172E7BC1}">
      <formula1>INDIRECT($B$39)</formula1>
    </dataValidation>
    <dataValidation type="list" allowBlank="1" showInputMessage="1" showErrorMessage="1" sqref="B46" xr:uid="{9B51677F-2240-4825-94F0-2154E7017495}">
      <formula1>INDIRECT($B$45)</formula1>
    </dataValidation>
    <dataValidation allowBlank="1" showInputMessage="1" showErrorMessage="1" prompt="Wanneer dit vak wordt ingevuld, zal deze benaming ook in de andere rekenbladen worden gebruikt." sqref="B5 B11 B17 B23 B29 B35 B41 B47" xr:uid="{8BF667A5-ACC4-4C43-B270-E74C62AA3EA6}"/>
    <dataValidation allowBlank="1" showInputMessage="1" showErrorMessage="1" prompt="Wanneer de forfaitaire waarden niet overeenkomen met de werkelijke waarden of wanneer er met eigen analyses wordt gewerkt, kunnen hier de correcte inhouden of analyseresultaten worden ingevuld." sqref="E4:K4 E10:K10 E16:K16 E22:K22 E28:K28 E34:K34 E40:K40 E46:K46" xr:uid="{3BA32529-7D13-4CE7-BF19-A48C3276B74F}"/>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058F830-3038-48C0-8B6C-AE392B107430}">
          <x14:formula1>
            <xm:f>'Lijsten en tabellen'!$AC$3:$AC$6</xm:f>
          </x14:formula1>
          <xm:sqref>B3 B45 B39 B33 B27 B21 B15 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F640F-0953-4C23-8847-39AC376A9CD6}">
  <dimension ref="A1:AL152"/>
  <sheetViews>
    <sheetView tabSelected="1" zoomScale="60" zoomScaleNormal="60" workbookViewId="0">
      <selection activeCell="D2" sqref="D2"/>
    </sheetView>
  </sheetViews>
  <sheetFormatPr defaultRowHeight="14.4" x14ac:dyDescent="0.3"/>
  <cols>
    <col min="1" max="1" width="17.5546875" customWidth="1"/>
    <col min="2" max="2" width="11.5546875" hidden="1" customWidth="1"/>
    <col min="3" max="3" width="27.33203125" customWidth="1"/>
    <col min="4" max="5" width="26.5546875" customWidth="1"/>
    <col min="6" max="6" width="19.44140625" customWidth="1"/>
    <col min="7" max="7" width="22.33203125" customWidth="1"/>
    <col min="8" max="8" width="23.21875" customWidth="1"/>
    <col min="9" max="9" width="23.33203125" customWidth="1"/>
    <col min="10" max="10" width="21.21875" customWidth="1"/>
    <col min="11" max="12" width="19.6640625" customWidth="1"/>
    <col min="13" max="13" width="20" customWidth="1"/>
    <col min="14" max="14" width="18.33203125" hidden="1" customWidth="1"/>
    <col min="15" max="15" width="19.33203125" hidden="1" customWidth="1"/>
    <col min="16" max="16" width="14" hidden="1" customWidth="1"/>
    <col min="17" max="17" width="13.109375" hidden="1" customWidth="1"/>
    <col min="18" max="19" width="14" hidden="1" customWidth="1"/>
    <col min="20" max="20" width="18.6640625" customWidth="1"/>
    <col min="21" max="21" width="27.21875" customWidth="1"/>
    <col min="22" max="22" width="35.44140625" customWidth="1"/>
    <col min="23" max="23" width="31.5546875" customWidth="1"/>
    <col min="24" max="24" width="31.33203125" customWidth="1"/>
    <col min="25" max="25" width="45.44140625" customWidth="1"/>
    <col min="26" max="26" width="20.6640625" customWidth="1"/>
    <col min="28" max="28" width="8.88671875" customWidth="1"/>
  </cols>
  <sheetData>
    <row r="1" spans="2:19" ht="18.600000000000001" thickBot="1" x14ac:dyDescent="0.4">
      <c r="C1" s="29" t="s">
        <v>441</v>
      </c>
      <c r="L1" s="42"/>
    </row>
    <row r="2" spans="2:19" ht="18" x14ac:dyDescent="0.35">
      <c r="C2" s="100" t="s">
        <v>440</v>
      </c>
      <c r="D2" s="185"/>
      <c r="E2" s="147"/>
      <c r="G2" s="29" t="s">
        <v>548</v>
      </c>
      <c r="N2" s="213" t="s">
        <v>593</v>
      </c>
      <c r="O2" s="213"/>
      <c r="P2" s="213" t="s">
        <v>553</v>
      </c>
      <c r="Q2" s="213"/>
      <c r="R2" s="213"/>
      <c r="S2" s="124"/>
    </row>
    <row r="3" spans="2:19" x14ac:dyDescent="0.3">
      <c r="C3" s="101" t="s">
        <v>406</v>
      </c>
      <c r="D3" s="186"/>
      <c r="E3" s="147"/>
      <c r="G3" s="84" t="s">
        <v>549</v>
      </c>
      <c r="H3" s="84" t="s">
        <v>555</v>
      </c>
      <c r="I3" s="84" t="s">
        <v>557</v>
      </c>
      <c r="J3" s="84" t="s">
        <v>550</v>
      </c>
      <c r="K3" s="84" t="s">
        <v>551</v>
      </c>
      <c r="L3" s="84" t="s">
        <v>552</v>
      </c>
      <c r="M3" s="84" t="s">
        <v>596</v>
      </c>
      <c r="N3" s="84" t="s">
        <v>471</v>
      </c>
      <c r="O3" s="84" t="s">
        <v>511</v>
      </c>
      <c r="P3" s="84" t="s">
        <v>471</v>
      </c>
      <c r="Q3" s="84" t="s">
        <v>472</v>
      </c>
      <c r="R3" s="84" t="s">
        <v>511</v>
      </c>
      <c r="S3" s="84"/>
    </row>
    <row r="4" spans="2:19" x14ac:dyDescent="0.3">
      <c r="B4" s="32" t="str">
        <f>IF(D4="Graskruiden mengsel","Ja","Nee")</f>
        <v>Nee</v>
      </c>
      <c r="C4" s="101" t="s">
        <v>403</v>
      </c>
      <c r="D4" s="186"/>
      <c r="E4" s="148" t="e">
        <f>VLOOKUP(D4,'Lijsten en tabellen'!X2:Z23,3,FALSE)</f>
        <v>#N/A</v>
      </c>
      <c r="F4" s="32"/>
      <c r="G4" t="str">
        <f>IFERROR(IF($D$11&gt;0,1,""),"")</f>
        <v/>
      </c>
      <c r="H4" s="189"/>
      <c r="I4" s="189"/>
      <c r="J4" s="189"/>
      <c r="K4" s="190"/>
      <c r="L4" s="190"/>
      <c r="M4" s="189"/>
      <c r="N4" t="str">
        <f>IFERROR(IF( H4="Melkkoeien", VLOOKUP(_xlfn.CONCAT(H4,I4),'Lijsten en tabellen'!$AK$3:$AM$35,3,FALSE),VLOOKUP(H4,'Lijsten en tabellen'!$AK$2:$AM$35,3,FALSE)),"")</f>
        <v/>
      </c>
      <c r="O4" t="str">
        <f>IFERROR(IF( H4="Melkkoeien", VLOOKUP(_xlfn.CONCAT(H4,I4),'Lijsten en tabellen'!$AK$3:$AM$35,2,FALSE),VLOOKUP(H4,'Lijsten en tabellen'!$AK$2:$AM$35,2,FALSE)),"")</f>
        <v/>
      </c>
      <c r="P4" s="78" t="str">
        <f t="shared" ref="P4:P9" si="0">IFERROR(J4*(L4-K4)*(M4/24)*(N4/365),"")</f>
        <v/>
      </c>
      <c r="Q4" s="78" t="str">
        <f>IFERROR(P4*0.2,"")</f>
        <v/>
      </c>
      <c r="R4" s="78" t="str">
        <f t="shared" ref="R4:R9" si="1">IFERROR(J4*(L4-K4)*(M4/24)*(O4/365),"")</f>
        <v/>
      </c>
      <c r="S4" s="78"/>
    </row>
    <row r="5" spans="2:19" x14ac:dyDescent="0.3">
      <c r="C5" s="101" t="s">
        <v>404</v>
      </c>
      <c r="D5" s="186"/>
      <c r="E5" s="148" t="e">
        <f>VLOOKUP(D4,'Lijsten en tabellen'!X2:AA23,4,FALSE)</f>
        <v>#N/A</v>
      </c>
      <c r="G5" t="str">
        <f>IFERROR(IF($D$11&gt;1,2,""),"")</f>
        <v/>
      </c>
      <c r="H5" s="189"/>
      <c r="I5" s="189"/>
      <c r="J5" s="189"/>
      <c r="K5" s="190"/>
      <c r="L5" s="190"/>
      <c r="M5" s="189"/>
      <c r="N5" t="str">
        <f>IFERROR(IF( H5="Melkkoeien", VLOOKUP(_xlfn.CONCAT(H5,I5),'Lijsten en tabellen'!$AK$3:$AM$35,3,FALSE),VLOOKUP(H5,'Lijsten en tabellen'!$AK$2:$AM$35,3,FALSE)),"")</f>
        <v/>
      </c>
      <c r="O5" t="str">
        <f>IFERROR(IF( H5="Melkkoeien", VLOOKUP(_xlfn.CONCAT(H5,I5),'Lijsten en tabellen'!$AK$3:$AM$35,2,FALSE),VLOOKUP(H5,'Lijsten en tabellen'!$AK$2:$AM$35,2,FALSE)),"")</f>
        <v/>
      </c>
      <c r="P5" s="78" t="str">
        <f t="shared" si="0"/>
        <v/>
      </c>
      <c r="Q5" s="78" t="str">
        <f t="shared" ref="Q5:Q9" si="2">IFERROR(P5*0.2,"")</f>
        <v/>
      </c>
      <c r="R5" s="78" t="str">
        <f t="shared" si="1"/>
        <v/>
      </c>
      <c r="S5" s="78"/>
    </row>
    <row r="6" spans="2:19" x14ac:dyDescent="0.3">
      <c r="C6" s="101" t="s">
        <v>405</v>
      </c>
      <c r="D6" s="187"/>
      <c r="E6" s="148" t="e">
        <f>_xlfn.CONCAT(D6,D3,D5,E4)</f>
        <v>#N/A</v>
      </c>
      <c r="G6" t="str">
        <f>IFERROR(IF($D$11&gt;2,3,""),"")</f>
        <v/>
      </c>
      <c r="H6" s="189"/>
      <c r="I6" s="189"/>
      <c r="J6" s="189"/>
      <c r="K6" s="189"/>
      <c r="L6" s="189"/>
      <c r="M6" s="189"/>
      <c r="N6" t="str">
        <f>IFERROR(IF( H6="Melkkoeien", VLOOKUP(_xlfn.CONCAT(H6,I6),'Lijsten en tabellen'!$AK$3:$AM$35,3,FALSE),VLOOKUP(H6,'Lijsten en tabellen'!$AK$2:$AM$35,3,FALSE)),"")</f>
        <v/>
      </c>
      <c r="O6" t="str">
        <f>IFERROR(IF( H6="Melkkoeien", VLOOKUP(_xlfn.CONCAT(H6,I6),'Lijsten en tabellen'!$AK$3:$AM$35,2,FALSE),VLOOKUP(H6,'Lijsten en tabellen'!$AK$2:$AM$35,2,FALSE)),"")</f>
        <v/>
      </c>
      <c r="P6" s="78" t="str">
        <f t="shared" si="0"/>
        <v/>
      </c>
      <c r="Q6" s="78" t="str">
        <f t="shared" si="2"/>
        <v/>
      </c>
      <c r="R6" s="78" t="str">
        <f t="shared" si="1"/>
        <v/>
      </c>
      <c r="S6" s="78"/>
    </row>
    <row r="7" spans="2:19" ht="28.8" x14ac:dyDescent="0.3">
      <c r="C7" s="102" t="s">
        <v>635</v>
      </c>
      <c r="D7" s="187"/>
      <c r="E7" s="147"/>
      <c r="G7" t="str">
        <f>IFERROR(IF($D$11&gt;3,4,""),"")</f>
        <v/>
      </c>
      <c r="H7" s="189"/>
      <c r="I7" s="189"/>
      <c r="J7" s="189"/>
      <c r="K7" s="190"/>
      <c r="L7" s="190"/>
      <c r="M7" s="189"/>
      <c r="N7" t="str">
        <f>IFERROR(IF( H7="Melkkoeien", VLOOKUP(_xlfn.CONCAT(H7,I7),'Lijsten en tabellen'!$AK$3:$AM$35,3,FALSE),VLOOKUP(H7,'Lijsten en tabellen'!$AK$2:$AM$35,3,FALSE)),"")</f>
        <v/>
      </c>
      <c r="O7" t="str">
        <f>IFERROR(IF( H7="Melkkoeien", VLOOKUP(_xlfn.CONCAT(H7,I7),'Lijsten en tabellen'!$AK$3:$AM$35,2,FALSE),VLOOKUP(H7,'Lijsten en tabellen'!$AK$2:$AM$35,2,FALSE)),"")</f>
        <v/>
      </c>
      <c r="P7" s="78" t="str">
        <f t="shared" si="0"/>
        <v/>
      </c>
      <c r="Q7" s="78" t="str">
        <f t="shared" si="2"/>
        <v/>
      </c>
      <c r="R7" s="78" t="str">
        <f t="shared" si="1"/>
        <v/>
      </c>
      <c r="S7" s="78"/>
    </row>
    <row r="8" spans="2:19" x14ac:dyDescent="0.3">
      <c r="C8" s="101" t="s">
        <v>408</v>
      </c>
      <c r="D8" s="186"/>
      <c r="E8" s="147"/>
      <c r="G8" t="str">
        <f>IFERROR(IF($D$11&gt;4,5,""),"")</f>
        <v/>
      </c>
      <c r="H8" s="189"/>
      <c r="I8" s="189"/>
      <c r="J8" s="189"/>
      <c r="K8" s="190"/>
      <c r="L8" s="190"/>
      <c r="M8" s="189"/>
      <c r="N8" t="str">
        <f>IFERROR(IF( H8="Melkkoeien", VLOOKUP(_xlfn.CONCAT(H8,I8),'Lijsten en tabellen'!$AK$3:$AM$35,3,FALSE),VLOOKUP(H8,'Lijsten en tabellen'!$AK$2:$AM$35,3,FALSE)),"")</f>
        <v/>
      </c>
      <c r="O8" t="str">
        <f>IFERROR(IF( H8="Melkkoeien", VLOOKUP(_xlfn.CONCAT(H8,I8),'Lijsten en tabellen'!$AK$3:$AM$35,2,FALSE),VLOOKUP(H8,'Lijsten en tabellen'!$AK$2:$AM$35,2,FALSE)),"")</f>
        <v/>
      </c>
      <c r="P8" s="78" t="str">
        <f t="shared" si="0"/>
        <v/>
      </c>
      <c r="Q8" s="78" t="str">
        <f t="shared" si="2"/>
        <v/>
      </c>
      <c r="R8" s="78" t="str">
        <f t="shared" si="1"/>
        <v/>
      </c>
      <c r="S8" s="78"/>
    </row>
    <row r="9" spans="2:19" x14ac:dyDescent="0.3">
      <c r="C9" s="101" t="s">
        <v>439</v>
      </c>
      <c r="D9" s="186"/>
      <c r="E9" s="147"/>
      <c r="G9" t="str">
        <f>IFERROR(IF($D$11&gt;5,6,""),"")</f>
        <v/>
      </c>
      <c r="H9" s="189"/>
      <c r="I9" s="189"/>
      <c r="J9" s="189"/>
      <c r="K9" s="190"/>
      <c r="L9" s="190"/>
      <c r="M9" s="189"/>
      <c r="N9" t="str">
        <f>IFERROR(IF( H9="Melkkoeien", VLOOKUP(_xlfn.CONCAT(H9,I9),'Lijsten en tabellen'!$AK$3:$AM$35,3,FALSE),VLOOKUP(H9,'Lijsten en tabellen'!$AK$2:$AM$35,3,FALSE)),"")</f>
        <v/>
      </c>
      <c r="O9" t="str">
        <f>IFERROR(IF( H9="Melkkoeien", VLOOKUP(_xlfn.CONCAT(H9,I9),'Lijsten en tabellen'!$AK$3:$AM$35,2,FALSE),VLOOKUP(H9,'Lijsten en tabellen'!$AK$2:$AM$35,2,FALSE)),"")</f>
        <v/>
      </c>
      <c r="P9" s="78" t="str">
        <f t="shared" si="0"/>
        <v/>
      </c>
      <c r="Q9" s="78" t="str">
        <f t="shared" si="2"/>
        <v/>
      </c>
      <c r="R9" s="78" t="str">
        <f t="shared" si="1"/>
        <v/>
      </c>
      <c r="S9" s="78"/>
    </row>
    <row r="10" spans="2:19" x14ac:dyDescent="0.3">
      <c r="C10" s="101" t="s">
        <v>595</v>
      </c>
      <c r="D10" s="186"/>
      <c r="E10" s="147"/>
      <c r="G10" s="42"/>
    </row>
    <row r="11" spans="2:19" ht="15" thickBot="1" x14ac:dyDescent="0.35">
      <c r="C11" s="103" t="s">
        <v>597</v>
      </c>
      <c r="D11" s="188"/>
      <c r="E11" s="147"/>
    </row>
    <row r="12" spans="2:19" hidden="1" x14ac:dyDescent="0.3">
      <c r="C12" s="148" t="e">
        <f>_xlfn.CONCAT(D6,D3,D5,E4)</f>
        <v>#N/A</v>
      </c>
      <c r="D12" s="32" t="str">
        <f>_xlfn.CONCAT(D7,D3,D5)</f>
        <v/>
      </c>
    </row>
    <row r="13" spans="2:19" x14ac:dyDescent="0.3">
      <c r="C13" s="148"/>
      <c r="D13" s="32"/>
    </row>
    <row r="14" spans="2:19" ht="18.600000000000001" thickBot="1" x14ac:dyDescent="0.4">
      <c r="C14" s="29" t="s">
        <v>402</v>
      </c>
      <c r="D14" s="30"/>
      <c r="E14" s="98"/>
      <c r="K14" s="32"/>
      <c r="L14" s="32"/>
    </row>
    <row r="15" spans="2:19" ht="19.8" thickBot="1" x14ac:dyDescent="0.5">
      <c r="C15" s="117" t="s">
        <v>399</v>
      </c>
      <c r="D15" s="118" t="s">
        <v>400</v>
      </c>
      <c r="E15" s="119" t="s">
        <v>401</v>
      </c>
      <c r="K15" s="32"/>
      <c r="L15" s="32"/>
    </row>
    <row r="16" spans="2:19" ht="15.6" x14ac:dyDescent="0.3">
      <c r="C16" s="116">
        <v>170</v>
      </c>
      <c r="D16" s="116" t="str">
        <f>IFERROR(IF(D7="Ja",VLOOKUP(D12,'Lijsten en tabellen'!E11:F14,2,FALSE),VLOOKUP(C12,'Lijsten en tabellen'!B10:C42,2,FALSE)),"")</f>
        <v/>
      </c>
      <c r="E16" s="116" t="str">
        <f>IF(D8="I",'Lijsten en tabellen'!S4,IF(D8="II",'Lijsten en tabellen'!T4,IF(D8="III",'Lijsten en tabellen'!U4,IF(D8="IV",'Lijsten en tabellen'!V4,""))))</f>
        <v/>
      </c>
      <c r="K16" s="32"/>
      <c r="L16" s="32"/>
    </row>
    <row r="17" spans="2:20" ht="15.6" x14ac:dyDescent="0.3">
      <c r="C17" s="98" t="s">
        <v>538</v>
      </c>
      <c r="D17" s="161"/>
      <c r="E17" s="161"/>
      <c r="K17" s="32"/>
      <c r="L17" s="32"/>
    </row>
    <row r="18" spans="2:20" x14ac:dyDescent="0.3">
      <c r="C18" s="148" t="e">
        <f>_xlfn.CONCAT(D3,D5,E5,B4)</f>
        <v>#N/A</v>
      </c>
      <c r="K18" s="32"/>
    </row>
    <row r="19" spans="2:20" ht="18" x14ac:dyDescent="0.35">
      <c r="C19" s="29" t="s">
        <v>413</v>
      </c>
      <c r="E19" s="31"/>
      <c r="F19" s="31"/>
      <c r="G19" s="31"/>
      <c r="H19" s="31"/>
      <c r="I19" s="31"/>
      <c r="K19" s="32"/>
    </row>
    <row r="20" spans="2:20" ht="18" x14ac:dyDescent="0.35">
      <c r="C20" s="192" t="s">
        <v>516</v>
      </c>
      <c r="E20" s="31"/>
      <c r="F20" s="31"/>
      <c r="G20" s="31"/>
      <c r="H20" s="31"/>
      <c r="I20" s="31"/>
      <c r="K20" s="32"/>
      <c r="T20" s="29"/>
    </row>
    <row r="21" spans="2:20" ht="19.2" x14ac:dyDescent="0.3">
      <c r="D21" s="41" t="s">
        <v>400</v>
      </c>
      <c r="E21" s="41" t="s">
        <v>414</v>
      </c>
      <c r="F21" s="41" t="s">
        <v>415</v>
      </c>
      <c r="G21" s="41" t="s">
        <v>416</v>
      </c>
      <c r="H21" s="41" t="s">
        <v>417</v>
      </c>
      <c r="I21" s="41" t="s">
        <v>418</v>
      </c>
      <c r="J21" s="41" t="s">
        <v>419</v>
      </c>
      <c r="K21" s="32"/>
    </row>
    <row r="22" spans="2:20" ht="15.6" hidden="1" x14ac:dyDescent="0.3">
      <c r="B22" t="s">
        <v>516</v>
      </c>
      <c r="C22" s="41" t="s">
        <v>450</v>
      </c>
      <c r="D22" s="49" t="e">
        <f>VLOOKUP(C18,'Algemene adviezen'!G3:N14,2,FALSE)</f>
        <v>#N/A</v>
      </c>
      <c r="E22" s="49" t="e">
        <f>VLOOKUP(C18,'Algemene adviezen'!G3:N14,3,FALSE)</f>
        <v>#N/A</v>
      </c>
      <c r="F22" s="49" t="e">
        <f>VLOOKUP(C18,'Algemene adviezen'!G3:N14,4,FALSE)</f>
        <v>#N/A</v>
      </c>
      <c r="G22" s="49" t="e">
        <f>VLOOKUP(C18,'Algemene adviezen'!G3:N14,5,FALSE)</f>
        <v>#N/A</v>
      </c>
      <c r="H22" s="49" t="e">
        <f>VLOOKUP(C18,'Algemene adviezen'!G3:N14,6,FALSE)</f>
        <v>#N/A</v>
      </c>
      <c r="I22" s="49" t="e">
        <f>VLOOKUP(C18,'Algemene adviezen'!G3:N14,7,FALSE)</f>
        <v>#N/A</v>
      </c>
      <c r="J22" s="49" t="e">
        <f>VLOOKUP(C18,'Algemene adviezen'!G3:N14,8,FALSE)</f>
        <v>#N/A</v>
      </c>
    </row>
    <row r="23" spans="2:20" ht="15.6" hidden="1" x14ac:dyDescent="0.3">
      <c r="B23" t="s">
        <v>517</v>
      </c>
      <c r="C23" s="41" t="s">
        <v>522</v>
      </c>
      <c r="D23" s="49" t="e">
        <f>D22</f>
        <v>#N/A</v>
      </c>
      <c r="E23" s="49" t="e">
        <f t="shared" ref="E23:J23" si="3">E22</f>
        <v>#N/A</v>
      </c>
      <c r="F23" s="49" t="e">
        <f t="shared" si="3"/>
        <v>#N/A</v>
      </c>
      <c r="G23" s="49" t="e">
        <f t="shared" si="3"/>
        <v>#N/A</v>
      </c>
      <c r="H23" s="49" t="e">
        <f t="shared" si="3"/>
        <v>#N/A</v>
      </c>
      <c r="I23" s="49" t="e">
        <f t="shared" si="3"/>
        <v>#N/A</v>
      </c>
      <c r="J23" s="49" t="e">
        <f t="shared" si="3"/>
        <v>#N/A</v>
      </c>
    </row>
    <row r="24" spans="2:20" ht="15.6" hidden="1" x14ac:dyDescent="0.3">
      <c r="B24" t="s">
        <v>516</v>
      </c>
      <c r="C24" s="41" t="s">
        <v>449</v>
      </c>
      <c r="D24" s="44"/>
      <c r="E24" s="44"/>
      <c r="F24" s="44"/>
      <c r="G24" s="44"/>
      <c r="H24" s="44"/>
      <c r="I24" s="44"/>
      <c r="J24" s="44"/>
    </row>
    <row r="25" spans="2:20" ht="15.6" hidden="1" x14ac:dyDescent="0.3">
      <c r="B25" t="str">
        <f>IFERROR(IF($D$10&gt;0,"Per snede",""),"Per snede")</f>
        <v/>
      </c>
      <c r="C25" s="41" t="s">
        <v>465</v>
      </c>
      <c r="D25" s="44" t="str">
        <f>IF($B$35="Per snede",D35,"")</f>
        <v/>
      </c>
      <c r="E25" s="44" t="str">
        <f t="shared" ref="E25:J25" si="4">IF($B$35="Per snede",E35,"")</f>
        <v/>
      </c>
      <c r="F25" s="44" t="str">
        <f t="shared" si="4"/>
        <v/>
      </c>
      <c r="G25" s="44" t="str">
        <f t="shared" si="4"/>
        <v/>
      </c>
      <c r="H25" s="44" t="str">
        <f t="shared" si="4"/>
        <v/>
      </c>
      <c r="I25" s="44" t="str">
        <f t="shared" si="4"/>
        <v/>
      </c>
      <c r="J25" s="44" t="str">
        <f t="shared" si="4"/>
        <v/>
      </c>
    </row>
    <row r="26" spans="2:20" ht="15.6" hidden="1" x14ac:dyDescent="0.3">
      <c r="B26" t="str">
        <f>IFERROR(IF($D$10&gt;1,"Per snede",""),"Per snede")</f>
        <v/>
      </c>
      <c r="C26" s="41" t="s">
        <v>499</v>
      </c>
      <c r="D26" s="44" t="str">
        <f>IF($B$36="Per snede",D36,"")</f>
        <v/>
      </c>
      <c r="E26" s="44" t="str">
        <f t="shared" ref="E26:J26" si="5">IF($B$36="Per snede",E36,"")</f>
        <v/>
      </c>
      <c r="F26" s="44" t="str">
        <f t="shared" si="5"/>
        <v/>
      </c>
      <c r="G26" s="44" t="str">
        <f t="shared" si="5"/>
        <v/>
      </c>
      <c r="H26" s="44" t="str">
        <f t="shared" si="5"/>
        <v/>
      </c>
      <c r="I26" s="44" t="str">
        <f t="shared" si="5"/>
        <v/>
      </c>
      <c r="J26" s="44" t="str">
        <f t="shared" si="5"/>
        <v/>
      </c>
    </row>
    <row r="27" spans="2:20" ht="15.6" hidden="1" x14ac:dyDescent="0.3">
      <c r="B27" t="str">
        <f>IFERROR(IF($D$10&gt;2,"Per snede",""),"Per snede")</f>
        <v/>
      </c>
      <c r="C27" s="41" t="s">
        <v>500</v>
      </c>
      <c r="D27" s="44" t="str">
        <f>IF($B$37="Per snede",D37,"")</f>
        <v/>
      </c>
      <c r="E27" s="44" t="str">
        <f t="shared" ref="E27:J27" si="6">IF($B$37="Per snede",E37,"")</f>
        <v/>
      </c>
      <c r="F27" s="44" t="str">
        <f t="shared" si="6"/>
        <v/>
      </c>
      <c r="G27" s="44" t="str">
        <f t="shared" si="6"/>
        <v/>
      </c>
      <c r="H27" s="44" t="str">
        <f t="shared" si="6"/>
        <v/>
      </c>
      <c r="I27" s="44" t="str">
        <f t="shared" si="6"/>
        <v/>
      </c>
      <c r="J27" s="44" t="str">
        <f t="shared" si="6"/>
        <v/>
      </c>
    </row>
    <row r="28" spans="2:20" ht="15.6" hidden="1" x14ac:dyDescent="0.3">
      <c r="B28" t="str">
        <f>IFERROR(IF($D$10&gt;3,"Per snede",""),"Per snede")</f>
        <v/>
      </c>
      <c r="C28" s="41" t="s">
        <v>501</v>
      </c>
      <c r="D28" s="44" t="str">
        <f>IF($B$38="Per snede",D38,"")</f>
        <v/>
      </c>
      <c r="E28" s="44" t="str">
        <f t="shared" ref="E28:J28" si="7">IF($B$38="Per snede",E38,"")</f>
        <v/>
      </c>
      <c r="F28" s="44" t="str">
        <f t="shared" si="7"/>
        <v/>
      </c>
      <c r="G28" s="44" t="str">
        <f t="shared" si="7"/>
        <v/>
      </c>
      <c r="H28" s="44" t="str">
        <f t="shared" si="7"/>
        <v/>
      </c>
      <c r="I28" s="44" t="str">
        <f t="shared" si="7"/>
        <v/>
      </c>
      <c r="J28" s="44" t="str">
        <f t="shared" si="7"/>
        <v/>
      </c>
    </row>
    <row r="29" spans="2:20" ht="15.6" hidden="1" x14ac:dyDescent="0.3">
      <c r="B29" t="str">
        <f>IFERROR(IF($D$10&gt;4,"Per snede",""),"Per snede")</f>
        <v/>
      </c>
      <c r="C29" s="41" t="s">
        <v>502</v>
      </c>
      <c r="D29" s="44" t="str">
        <f>IF($B$39="Per snede",D39,"")</f>
        <v/>
      </c>
      <c r="E29" s="44" t="str">
        <f t="shared" ref="E29:J29" si="8">IF($B$39="Per snede",E39,"")</f>
        <v/>
      </c>
      <c r="F29" s="44" t="str">
        <f t="shared" si="8"/>
        <v/>
      </c>
      <c r="G29" s="44" t="str">
        <f t="shared" si="8"/>
        <v/>
      </c>
      <c r="H29" s="44" t="str">
        <f t="shared" si="8"/>
        <v/>
      </c>
      <c r="I29" s="44" t="str">
        <f t="shared" si="8"/>
        <v/>
      </c>
      <c r="J29" s="44" t="str">
        <f t="shared" si="8"/>
        <v/>
      </c>
    </row>
    <row r="30" spans="2:20" ht="15.6" hidden="1" x14ac:dyDescent="0.3">
      <c r="B30" t="str">
        <f>IFERROR(IF($D$10&gt;5,"Per snede",""),"Per snede")</f>
        <v/>
      </c>
      <c r="C30" s="41" t="s">
        <v>503</v>
      </c>
      <c r="D30" s="44" t="str">
        <f>IF($B$40="Per snede",D40,"")</f>
        <v/>
      </c>
      <c r="E30" s="44" t="str">
        <f t="shared" ref="E30:J30" si="9">IF($B$40="Per snede",E40,"")</f>
        <v/>
      </c>
      <c r="F30" s="44" t="str">
        <f t="shared" si="9"/>
        <v/>
      </c>
      <c r="G30" s="44" t="str">
        <f t="shared" si="9"/>
        <v/>
      </c>
      <c r="H30" s="44" t="str">
        <f t="shared" si="9"/>
        <v/>
      </c>
      <c r="I30" s="44" t="str">
        <f t="shared" si="9"/>
        <v/>
      </c>
      <c r="J30" s="44" t="str">
        <f t="shared" si="9"/>
        <v/>
      </c>
    </row>
    <row r="31" spans="2:20" ht="15.6" hidden="1" x14ac:dyDescent="0.3">
      <c r="B31" t="s">
        <v>517</v>
      </c>
      <c r="C31" s="41" t="s">
        <v>530</v>
      </c>
      <c r="D31" s="49">
        <f>SUM(D25:D30)</f>
        <v>0</v>
      </c>
      <c r="E31" s="49">
        <f t="shared" ref="E31:J31" si="10">SUM(E25:E30)</f>
        <v>0</v>
      </c>
      <c r="F31" s="49">
        <f t="shared" si="10"/>
        <v>0</v>
      </c>
      <c r="G31" s="49">
        <f t="shared" si="10"/>
        <v>0</v>
      </c>
      <c r="H31" s="49">
        <f t="shared" si="10"/>
        <v>0</v>
      </c>
      <c r="I31" s="49">
        <f t="shared" si="10"/>
        <v>0</v>
      </c>
      <c r="J31" s="49">
        <f t="shared" si="10"/>
        <v>0</v>
      </c>
    </row>
    <row r="32" spans="2:20" ht="15" hidden="1" thickBot="1" x14ac:dyDescent="0.35"/>
    <row r="33" spans="2:26" ht="19.8" hidden="1" thickBot="1" x14ac:dyDescent="0.35">
      <c r="D33" s="121" t="s">
        <v>400</v>
      </c>
      <c r="E33" s="122" t="s">
        <v>414</v>
      </c>
      <c r="F33" s="122" t="s">
        <v>415</v>
      </c>
      <c r="G33" s="122" t="s">
        <v>416</v>
      </c>
      <c r="H33" s="122" t="s">
        <v>417</v>
      </c>
      <c r="I33" s="122" t="s">
        <v>418</v>
      </c>
      <c r="J33" s="123" t="s">
        <v>419</v>
      </c>
      <c r="L33" s="33"/>
      <c r="M33" s="33"/>
      <c r="N33" s="33"/>
      <c r="O33" s="33"/>
      <c r="P33" s="33"/>
      <c r="T33" s="33"/>
      <c r="U33" s="214" t="s">
        <v>605</v>
      </c>
      <c r="V33" s="215"/>
      <c r="W33" s="215"/>
      <c r="X33" s="216"/>
      <c r="Y33" s="216"/>
      <c r="Z33" s="217"/>
    </row>
    <row r="34" spans="2:26" ht="15.6" x14ac:dyDescent="0.3">
      <c r="B34" t="str" cm="1">
        <f t="array" ref="B34:C35">_xlfn._xlws.FILTER(B22:C30,B22:B30=C20)</f>
        <v>Per jaar</v>
      </c>
      <c r="C34" s="85" t="str">
        <v>Algemeen advies</v>
      </c>
      <c r="D34" s="120" t="str">
        <f t="shared" ref="D34:J34" si="11">IFERROR(D22,"")</f>
        <v/>
      </c>
      <c r="E34" s="120" t="str">
        <f t="shared" si="11"/>
        <v/>
      </c>
      <c r="F34" s="120" t="str">
        <f t="shared" si="11"/>
        <v/>
      </c>
      <c r="G34" s="120" t="str">
        <f t="shared" si="11"/>
        <v/>
      </c>
      <c r="H34" s="120" t="str">
        <f t="shared" si="11"/>
        <v/>
      </c>
      <c r="I34" s="120" t="str">
        <f t="shared" si="11"/>
        <v/>
      </c>
      <c r="J34" s="120" t="str">
        <f t="shared" si="11"/>
        <v/>
      </c>
      <c r="T34" s="33"/>
      <c r="U34" s="33"/>
      <c r="V34" s="33"/>
      <c r="W34" s="33"/>
    </row>
    <row r="35" spans="2:26" ht="15.6" x14ac:dyDescent="0.3">
      <c r="B35" t="str">
        <v>Per jaar</v>
      </c>
      <c r="C35" s="85" t="str">
        <v>Advies eigen analyse</v>
      </c>
      <c r="D35" s="87"/>
      <c r="E35" s="87"/>
      <c r="F35" s="87"/>
      <c r="G35" s="87"/>
      <c r="H35" s="87"/>
      <c r="I35" s="87"/>
      <c r="J35" s="87"/>
      <c r="M35" s="206"/>
      <c r="N35" s="125"/>
    </row>
    <row r="36" spans="2:26" ht="15.6" x14ac:dyDescent="0.3">
      <c r="C36" s="85"/>
      <c r="D36" s="191"/>
      <c r="E36" s="191"/>
      <c r="F36" s="191"/>
      <c r="G36" s="191"/>
      <c r="H36" s="191"/>
      <c r="I36" s="191"/>
      <c r="J36" s="191"/>
      <c r="M36" s="1"/>
      <c r="N36" s="1"/>
      <c r="U36" s="157"/>
      <c r="V36" s="157"/>
    </row>
    <row r="37" spans="2:26" ht="15.6" x14ac:dyDescent="0.3">
      <c r="C37" s="85"/>
      <c r="D37" s="191"/>
      <c r="E37" s="191"/>
      <c r="F37" s="191"/>
      <c r="G37" s="191"/>
      <c r="H37" s="191"/>
      <c r="I37" s="191"/>
      <c r="J37" s="191"/>
      <c r="M37" s="1"/>
      <c r="N37" s="1"/>
      <c r="U37" s="158"/>
      <c r="V37" s="158"/>
    </row>
    <row r="38" spans="2:26" ht="15.6" x14ac:dyDescent="0.3">
      <c r="C38" s="85"/>
      <c r="D38" s="191"/>
      <c r="E38" s="191"/>
      <c r="F38" s="191"/>
      <c r="G38" s="191"/>
      <c r="H38" s="191"/>
      <c r="I38" s="191"/>
      <c r="J38" s="191"/>
      <c r="M38" s="1"/>
      <c r="N38" s="1"/>
      <c r="U38" s="158"/>
      <c r="V38" s="158"/>
    </row>
    <row r="39" spans="2:26" ht="15.6" x14ac:dyDescent="0.3">
      <c r="C39" s="85"/>
      <c r="D39" s="191"/>
      <c r="E39" s="191"/>
      <c r="F39" s="191"/>
      <c r="G39" s="191"/>
      <c r="H39" s="191"/>
      <c r="I39" s="191"/>
      <c r="J39" s="191"/>
      <c r="U39" s="158"/>
      <c r="V39" s="158"/>
    </row>
    <row r="40" spans="2:26" ht="15.6" x14ac:dyDescent="0.3">
      <c r="C40" s="85"/>
      <c r="D40" s="191"/>
      <c r="E40" s="191"/>
      <c r="F40" s="191"/>
      <c r="G40" s="191"/>
      <c r="H40" s="191"/>
      <c r="I40" s="191"/>
      <c r="J40" s="191"/>
      <c r="U40" s="158"/>
      <c r="V40" s="158"/>
    </row>
    <row r="41" spans="2:26" ht="15.6" x14ac:dyDescent="0.3">
      <c r="C41" s="85"/>
      <c r="D41" s="1"/>
      <c r="E41" s="1"/>
      <c r="F41" s="1"/>
      <c r="G41" s="1"/>
      <c r="H41" s="1"/>
      <c r="I41" s="1"/>
      <c r="J41" s="1"/>
    </row>
    <row r="42" spans="2:26" ht="18" x14ac:dyDescent="0.35">
      <c r="C42" s="29" t="s">
        <v>628</v>
      </c>
    </row>
    <row r="43" spans="2:26" ht="18.600000000000001" thickBot="1" x14ac:dyDescent="0.4">
      <c r="C43" s="29"/>
      <c r="N43" s="218" t="s">
        <v>534</v>
      </c>
      <c r="O43" s="218"/>
      <c r="P43" s="218"/>
      <c r="Q43" s="218"/>
    </row>
    <row r="44" spans="2:26" ht="19.8" thickBot="1" x14ac:dyDescent="0.35">
      <c r="C44" s="47" t="s">
        <v>464</v>
      </c>
      <c r="D44" s="108" t="s">
        <v>466</v>
      </c>
      <c r="E44" s="48" t="s">
        <v>470</v>
      </c>
      <c r="F44" s="48" t="s">
        <v>400</v>
      </c>
      <c r="G44" s="106" t="s">
        <v>414</v>
      </c>
      <c r="H44" s="106" t="s">
        <v>415</v>
      </c>
      <c r="I44" s="106" t="s">
        <v>416</v>
      </c>
      <c r="J44" s="106" t="s">
        <v>417</v>
      </c>
      <c r="K44" s="106" t="s">
        <v>418</v>
      </c>
      <c r="L44" s="106" t="s">
        <v>419</v>
      </c>
      <c r="M44" s="107" t="s">
        <v>615</v>
      </c>
      <c r="N44" s="74" t="s">
        <v>533</v>
      </c>
      <c r="O44" s="74" t="s">
        <v>512</v>
      </c>
      <c r="P44" s="74" t="s">
        <v>513</v>
      </c>
      <c r="Q44" s="74" t="s">
        <v>514</v>
      </c>
    </row>
    <row r="45" spans="2:26" x14ac:dyDescent="0.3">
      <c r="C45" s="104" t="str">
        <f>IF(NOT('Te gebruiken meststoffen'!R3=0), 'Te gebruiken meststoffen'!R3,"")</f>
        <v/>
      </c>
      <c r="D45" s="104" t="str">
        <f>IFERROR(VLOOKUP(C45,'Te gebruiken meststoffen'!$R$3:$AA$10,2,FALSE),"")</f>
        <v/>
      </c>
      <c r="E45" s="105">
        <f>IFERROR(VLOOKUP(C45,'Te gebruiken meststoffen'!$R$3:$AA$10,3,FALSE),0)</f>
        <v>0</v>
      </c>
      <c r="F45" s="105">
        <f>IFERROR(VLOOKUP(C45,'Te gebruiken meststoffen'!$R$3:$AA$10,4,FALSE),0)</f>
        <v>0</v>
      </c>
      <c r="G45" s="105">
        <f>IFERROR(VLOOKUP(C45,'Te gebruiken meststoffen'!$R$3:$AA$10,5,FALSE),0)</f>
        <v>0</v>
      </c>
      <c r="H45" s="105">
        <f>IFERROR(VLOOKUP(C45,'Te gebruiken meststoffen'!$R$3:$AA$10,6,FALSE),0)</f>
        <v>0</v>
      </c>
      <c r="I45" s="105">
        <f>IFERROR(VLOOKUP(C45,'Te gebruiken meststoffen'!$R$3:$AA$10,7,FALSE),0)</f>
        <v>0</v>
      </c>
      <c r="J45" s="105">
        <f>IFERROR(VLOOKUP(C45,'Te gebruiken meststoffen'!$R$3:$AA$10,8,FALSE),0)</f>
        <v>0</v>
      </c>
      <c r="K45" s="105">
        <f>IFERROR(VLOOKUP(C45,'Te gebruiken meststoffen'!$R$3:$AA$10,9,FALSE),0)</f>
        <v>0</v>
      </c>
      <c r="L45" s="129">
        <f>IFERROR(VLOOKUP(C45,'Te gebruiken meststoffen'!$R$3:$AB$10,10,FALSE),0)</f>
        <v>0</v>
      </c>
      <c r="M45" s="105">
        <f>IFERROR(VLOOKUP(C45,'Te gebruiken meststoffen'!$R$3:$AH$10,17,FALSE),0)</f>
        <v>0</v>
      </c>
      <c r="N45" s="78">
        <f>IFERROR(VLOOKUP(C45,'Te gebruiken meststoffen'!$R$3:$AG$10,13,FALSE),0)</f>
        <v>0</v>
      </c>
      <c r="O45" s="78">
        <f>IFERROR(VLOOKUP(C45,'Te gebruiken meststoffen'!$R$3:$AG$10,14,FALSE),0)</f>
        <v>0</v>
      </c>
      <c r="P45" s="78">
        <f>IFERROR(VLOOKUP(C45,'Te gebruiken meststoffen'!$R$3:$AG$10,15,FALSE),0)</f>
        <v>0</v>
      </c>
      <c r="Q45" s="78">
        <f>IFERROR(VLOOKUP(C45,'Te gebruiken meststoffen'!$R$3:$AG$10,16,FALSE),0)</f>
        <v>0</v>
      </c>
      <c r="T45" s="149" t="e">
        <f>VLOOKUP(C45,'Te gebruiken meststoffen'!$R$3:$AB$10,11,FALSE)</f>
        <v>#N/A</v>
      </c>
    </row>
    <row r="46" spans="2:26" x14ac:dyDescent="0.3">
      <c r="C46" s="104" t="str">
        <f>IF(NOT('Te gebruiken meststoffen'!R4=0), 'Te gebruiken meststoffen'!R4,"")</f>
        <v/>
      </c>
      <c r="D46" s="86" t="str">
        <f>IFERROR(VLOOKUP(C46,'Te gebruiken meststoffen'!$R$3:$AA$10,2,FALSE),"")</f>
        <v/>
      </c>
      <c r="E46" s="99">
        <f>IFERROR(VLOOKUP(C46,'Te gebruiken meststoffen'!$R$3:$AA$10,3,FALSE),0)</f>
        <v>0</v>
      </c>
      <c r="F46" s="99">
        <f>IFERROR(VLOOKUP(C46,'Te gebruiken meststoffen'!$R$3:$AA$10,4,FALSE),0)</f>
        <v>0</v>
      </c>
      <c r="G46" s="99">
        <f>IFERROR(VLOOKUP(C46,'Te gebruiken meststoffen'!$R$3:$AA$10,5,FALSE),0)</f>
        <v>0</v>
      </c>
      <c r="H46" s="99">
        <f>IFERROR(VLOOKUP(C46,'Te gebruiken meststoffen'!$R$3:$AA$10,6,FALSE),0)</f>
        <v>0</v>
      </c>
      <c r="I46" s="99">
        <f>IFERROR(VLOOKUP(C46,'Te gebruiken meststoffen'!$R$3:$AA$10,7,FALSE),0)</f>
        <v>0</v>
      </c>
      <c r="J46" s="99">
        <f>IFERROR(VLOOKUP(C46,'Te gebruiken meststoffen'!$R$3:$AA$10,8,FALSE),0)</f>
        <v>0</v>
      </c>
      <c r="K46" s="99">
        <f>IFERROR(VLOOKUP(C46,'Te gebruiken meststoffen'!$R$3:$AA$10,9,FALSE),0)</f>
        <v>0</v>
      </c>
      <c r="L46" s="130">
        <f>IFERROR(VLOOKUP(C46,'Te gebruiken meststoffen'!$R$3:$AB$10,10,FALSE),0)</f>
        <v>0</v>
      </c>
      <c r="M46" s="99">
        <f>IFERROR(VLOOKUP(C46,'Te gebruiken meststoffen'!$R$3:$AH$10,17,FALSE),0)</f>
        <v>0</v>
      </c>
      <c r="N46" s="78">
        <f>IFERROR(VLOOKUP(C46,'Te gebruiken meststoffen'!$R$3:$AG$10,13,FALSE),0)</f>
        <v>0</v>
      </c>
      <c r="O46" s="78">
        <f>IFERROR(VLOOKUP(C46,'Te gebruiken meststoffen'!$R$3:$AG$10,14,FALSE),0)</f>
        <v>0</v>
      </c>
      <c r="P46" s="78">
        <f>IFERROR(VLOOKUP(C46,'Te gebruiken meststoffen'!$R$3:$AG$10,15,FALSE),0)</f>
        <v>0</v>
      </c>
      <c r="Q46" s="78">
        <f>IFERROR(VLOOKUP(C46,'Te gebruiken meststoffen'!$R$3:$AG$10,16,FALSE),0)</f>
        <v>0</v>
      </c>
      <c r="T46" s="149" t="e">
        <f>VLOOKUP(C46,'Te gebruiken meststoffen'!$R$3:$AB$10,11,FALSE)</f>
        <v>#N/A</v>
      </c>
    </row>
    <row r="47" spans="2:26" x14ac:dyDescent="0.3">
      <c r="C47" s="104" t="str">
        <f>IF(NOT('Te gebruiken meststoffen'!R5=0), 'Te gebruiken meststoffen'!R5,"")</f>
        <v/>
      </c>
      <c r="D47" s="86" t="str">
        <f>IFERROR(VLOOKUP(C47,'Te gebruiken meststoffen'!$R$3:$AA$10,2,FALSE),"")</f>
        <v/>
      </c>
      <c r="E47" s="99">
        <f>IFERROR(VLOOKUP(C47,'Te gebruiken meststoffen'!$R$3:$AA$10,3,FALSE),0)</f>
        <v>0</v>
      </c>
      <c r="F47" s="99">
        <f>IFERROR(VLOOKUP(C47,'Te gebruiken meststoffen'!$R$3:$AA$10,4,FALSE),0)</f>
        <v>0</v>
      </c>
      <c r="G47" s="99">
        <f>IFERROR(VLOOKUP(C47,'Te gebruiken meststoffen'!$R$3:$AA$10,5,FALSE),0)</f>
        <v>0</v>
      </c>
      <c r="H47" s="99">
        <f>IFERROR(VLOOKUP(C47,'Te gebruiken meststoffen'!$R$3:$AA$10,6,FALSE),0)</f>
        <v>0</v>
      </c>
      <c r="I47" s="99">
        <f>IFERROR(VLOOKUP(C47,'Te gebruiken meststoffen'!$R$3:$AA$10,7,FALSE),0)</f>
        <v>0</v>
      </c>
      <c r="J47" s="99">
        <f>IFERROR(VLOOKUP(C47,'Te gebruiken meststoffen'!$R$3:$AA$10,8,FALSE),0)</f>
        <v>0</v>
      </c>
      <c r="K47" s="99">
        <f>IFERROR(VLOOKUP(C47,'Te gebruiken meststoffen'!$R$3:$AA$10,9,FALSE),0)</f>
        <v>0</v>
      </c>
      <c r="L47" s="130">
        <f>IFERROR(VLOOKUP(C47,'Te gebruiken meststoffen'!$R$3:$AB$10,10,FALSE),0)</f>
        <v>0</v>
      </c>
      <c r="M47" s="99">
        <f>IFERROR(VLOOKUP(C47,'Te gebruiken meststoffen'!$R$3:$AH$10,17,FALSE),0)</f>
        <v>0</v>
      </c>
      <c r="N47" s="78">
        <f>IFERROR(VLOOKUP(C47,'Te gebruiken meststoffen'!$R$3:$AG$10,13,FALSE),0)</f>
        <v>0</v>
      </c>
      <c r="O47" s="78">
        <f>IFERROR(VLOOKUP(C47,'Te gebruiken meststoffen'!$R$3:$AG$10,14,FALSE),0)</f>
        <v>0</v>
      </c>
      <c r="P47" s="78">
        <f>IFERROR(VLOOKUP(C47,'Te gebruiken meststoffen'!$R$3:$AG$10,15,FALSE),0)</f>
        <v>0</v>
      </c>
      <c r="Q47" s="78">
        <f>IFERROR(VLOOKUP(C47,'Te gebruiken meststoffen'!$R$3:$AG$10,16,FALSE),0)</f>
        <v>0</v>
      </c>
      <c r="T47" s="149" t="e">
        <f>VLOOKUP(C47,'Te gebruiken meststoffen'!$R$3:$AB$10,11,FALSE)</f>
        <v>#N/A</v>
      </c>
    </row>
    <row r="48" spans="2:26" x14ac:dyDescent="0.3">
      <c r="C48" s="104" t="str">
        <f>IF(NOT('Te gebruiken meststoffen'!R6=0), 'Te gebruiken meststoffen'!R6,"")</f>
        <v/>
      </c>
      <c r="D48" s="86" t="str">
        <f>IFERROR(VLOOKUP(C48,'Te gebruiken meststoffen'!$R$3:$AA$10,2,FALSE),"")</f>
        <v/>
      </c>
      <c r="E48" s="99">
        <f>IFERROR(VLOOKUP(C48,'Te gebruiken meststoffen'!$R$3:$AA$10,3,FALSE),0)</f>
        <v>0</v>
      </c>
      <c r="F48" s="99">
        <f>IFERROR(VLOOKUP(C48,'Te gebruiken meststoffen'!$R$3:$AA$10,4,FALSE),0)</f>
        <v>0</v>
      </c>
      <c r="G48" s="99">
        <f>IFERROR(VLOOKUP(C48,'Te gebruiken meststoffen'!$R$3:$AA$10,5,FALSE),0)</f>
        <v>0</v>
      </c>
      <c r="H48" s="99">
        <f>IFERROR(VLOOKUP(C48,'Te gebruiken meststoffen'!$R$3:$AA$10,6,FALSE),0)</f>
        <v>0</v>
      </c>
      <c r="I48" s="99">
        <f>IFERROR(VLOOKUP(C48,'Te gebruiken meststoffen'!$R$3:$AA$10,7,FALSE),0)</f>
        <v>0</v>
      </c>
      <c r="J48" s="99">
        <f>IFERROR(VLOOKUP(C48,'Te gebruiken meststoffen'!$R$3:$AA$10,8,FALSE),0)</f>
        <v>0</v>
      </c>
      <c r="K48" s="99">
        <f>IFERROR(VLOOKUP(C48,'Te gebruiken meststoffen'!$R$3:$AA$10,9,FALSE),0)</f>
        <v>0</v>
      </c>
      <c r="L48" s="130">
        <f>IFERROR(VLOOKUP(C48,'Te gebruiken meststoffen'!$R$3:$AB$10,10,FALSE),0)</f>
        <v>0</v>
      </c>
      <c r="M48" s="99">
        <f>IFERROR(VLOOKUP(C48,'Te gebruiken meststoffen'!$R$3:$AH$10,17,FALSE),0)</f>
        <v>0</v>
      </c>
      <c r="N48" s="78">
        <f>IFERROR(VLOOKUP(C48,'Te gebruiken meststoffen'!$R$3:$AG$10,13,FALSE),0)</f>
        <v>0</v>
      </c>
      <c r="O48" s="78">
        <f>IFERROR(VLOOKUP(C48,'Te gebruiken meststoffen'!$R$3:$AG$10,14,FALSE),0)</f>
        <v>0</v>
      </c>
      <c r="P48" s="78">
        <f>IFERROR(VLOOKUP(C48,'Te gebruiken meststoffen'!$R$3:$AG$10,15,FALSE),0)</f>
        <v>0</v>
      </c>
      <c r="Q48" s="78">
        <f>IFERROR(VLOOKUP(C48,'Te gebruiken meststoffen'!$R$3:$AG$10,16,FALSE),0)</f>
        <v>0</v>
      </c>
      <c r="T48" s="149" t="e">
        <f>VLOOKUP(C48,'Te gebruiken meststoffen'!$R$3:$AB$10,11,FALSE)</f>
        <v>#N/A</v>
      </c>
    </row>
    <row r="49" spans="1:38" x14ac:dyDescent="0.3">
      <c r="C49" s="104" t="str">
        <f>IF(NOT('Te gebruiken meststoffen'!R7=0), 'Te gebruiken meststoffen'!R7,"")</f>
        <v/>
      </c>
      <c r="D49" s="86" t="str">
        <f>IFERROR(VLOOKUP(C49,'Te gebruiken meststoffen'!$R$3:$AA$10,2,FALSE),"")</f>
        <v/>
      </c>
      <c r="E49" s="99">
        <f>IFERROR(VLOOKUP(C49,'Te gebruiken meststoffen'!$R$3:$AA$10,3,FALSE),0)</f>
        <v>0</v>
      </c>
      <c r="F49" s="99">
        <f>IFERROR(VLOOKUP(C49,'Te gebruiken meststoffen'!$R$3:$AA$10,4,FALSE),0)</f>
        <v>0</v>
      </c>
      <c r="G49" s="99">
        <f>IFERROR(VLOOKUP(C49,'Te gebruiken meststoffen'!$R$3:$AA$10,5,FALSE),0)</f>
        <v>0</v>
      </c>
      <c r="H49" s="99">
        <f>IFERROR(VLOOKUP(C49,'Te gebruiken meststoffen'!$R$3:$AA$10,6,FALSE),0)</f>
        <v>0</v>
      </c>
      <c r="I49" s="99">
        <f>IFERROR(VLOOKUP(C49,'Te gebruiken meststoffen'!$R$3:$AA$10,7,FALSE),0)</f>
        <v>0</v>
      </c>
      <c r="J49" s="99">
        <f>IFERROR(VLOOKUP(C49,'Te gebruiken meststoffen'!$R$3:$AA$10,8,FALSE),0)</f>
        <v>0</v>
      </c>
      <c r="K49" s="99">
        <f>IFERROR(VLOOKUP(C49,'Te gebruiken meststoffen'!$R$3:$AA$10,9,FALSE),0)</f>
        <v>0</v>
      </c>
      <c r="L49" s="130">
        <f>IFERROR(VLOOKUP(C49,'Te gebruiken meststoffen'!$R$3:$AB$10,10,FALSE),0)</f>
        <v>0</v>
      </c>
      <c r="M49" s="99">
        <f>IFERROR(VLOOKUP(C49,'Te gebruiken meststoffen'!$R$3:$AH$10,17,FALSE),0)</f>
        <v>0</v>
      </c>
      <c r="N49" s="78">
        <f>IFERROR(VLOOKUP(C49,'Te gebruiken meststoffen'!$R$3:$AG$10,13,FALSE),0)</f>
        <v>0</v>
      </c>
      <c r="O49" s="78">
        <f>IFERROR(VLOOKUP(C49,'Te gebruiken meststoffen'!$R$3:$AG$10,14,FALSE),0)</f>
        <v>0</v>
      </c>
      <c r="P49" s="78">
        <f>IFERROR(VLOOKUP(C49,'Te gebruiken meststoffen'!$R$3:$AG$10,15,FALSE),0)</f>
        <v>0</v>
      </c>
      <c r="Q49" s="78">
        <f>IFERROR(VLOOKUP(C49,'Te gebruiken meststoffen'!$R$3:$AG$10,16,FALSE),0)</f>
        <v>0</v>
      </c>
      <c r="T49" s="149" t="e">
        <f>VLOOKUP(C49,'Te gebruiken meststoffen'!$R$3:$AB$10,11,FALSE)</f>
        <v>#N/A</v>
      </c>
    </row>
    <row r="50" spans="1:38" x14ac:dyDescent="0.3">
      <c r="C50" s="104" t="str">
        <f>IF(NOT('Te gebruiken meststoffen'!R8=0), 'Te gebruiken meststoffen'!R8,"")</f>
        <v/>
      </c>
      <c r="D50" s="86" t="str">
        <f>IFERROR(VLOOKUP(C50,'Te gebruiken meststoffen'!$R$3:$AA$10,2,FALSE),"")</f>
        <v/>
      </c>
      <c r="E50" s="99">
        <f>IFERROR(VLOOKUP(C50,'Te gebruiken meststoffen'!$R$3:$AA$10,3,FALSE),0)</f>
        <v>0</v>
      </c>
      <c r="F50" s="99">
        <f>IFERROR(VLOOKUP(C50,'Te gebruiken meststoffen'!$R$3:$AA$10,4,FALSE),0)</f>
        <v>0</v>
      </c>
      <c r="G50" s="99">
        <f>IFERROR(VLOOKUP(C50,'Te gebruiken meststoffen'!$R$3:$AA$10,5,FALSE),0)</f>
        <v>0</v>
      </c>
      <c r="H50" s="99">
        <f>IFERROR(VLOOKUP(C50,'Te gebruiken meststoffen'!$R$3:$AA$10,6,FALSE),0)</f>
        <v>0</v>
      </c>
      <c r="I50" s="99">
        <f>IFERROR(VLOOKUP(C50,'Te gebruiken meststoffen'!$R$3:$AA$10,7,FALSE),0)</f>
        <v>0</v>
      </c>
      <c r="J50" s="99">
        <f>IFERROR(VLOOKUP(C50,'Te gebruiken meststoffen'!$R$3:$AA$10,8,FALSE),0)</f>
        <v>0</v>
      </c>
      <c r="K50" s="99">
        <f>IFERROR(VLOOKUP(C50,'Te gebruiken meststoffen'!$R$3:$AA$10,9,FALSE),0)</f>
        <v>0</v>
      </c>
      <c r="L50" s="130">
        <f>IFERROR(VLOOKUP(C50,'Te gebruiken meststoffen'!$R$3:$AB$10,10,FALSE),0)</f>
        <v>0</v>
      </c>
      <c r="M50" s="99">
        <f>IFERROR(VLOOKUP(C50,'Te gebruiken meststoffen'!$R$3:$AH$10,17,FALSE),0)</f>
        <v>0</v>
      </c>
      <c r="N50" s="78">
        <f>IFERROR(VLOOKUP(C50,'Te gebruiken meststoffen'!$R$3:$AG$10,13,FALSE),0)</f>
        <v>0</v>
      </c>
      <c r="O50" s="78">
        <f>IFERROR(VLOOKUP(C50,'Te gebruiken meststoffen'!$R$3:$AG$10,14,FALSE),0)</f>
        <v>0</v>
      </c>
      <c r="P50" s="78">
        <f>IFERROR(VLOOKUP(C50,'Te gebruiken meststoffen'!$R$3:$AG$10,15,FALSE),0)</f>
        <v>0</v>
      </c>
      <c r="Q50" s="78">
        <f>IFERROR(VLOOKUP(C50,'Te gebruiken meststoffen'!$R$3:$AG$10,16,FALSE),0)</f>
        <v>0</v>
      </c>
      <c r="T50" s="149" t="e">
        <f>VLOOKUP(C50,'Te gebruiken meststoffen'!$R$3:$AB$10,11,FALSE)</f>
        <v>#N/A</v>
      </c>
    </row>
    <row r="51" spans="1:38" x14ac:dyDescent="0.3">
      <c r="C51" s="104" t="str">
        <f>IF(NOT('Te gebruiken meststoffen'!R9=0), 'Te gebruiken meststoffen'!R9,"")</f>
        <v/>
      </c>
      <c r="D51" s="86" t="str">
        <f>IFERROR(VLOOKUP(C51,'Te gebruiken meststoffen'!$R$3:$AA$10,2,FALSE),"")</f>
        <v/>
      </c>
      <c r="E51" s="99">
        <f>IFERROR(VLOOKUP(C51,'Te gebruiken meststoffen'!$R$3:$AA$10,3,FALSE),0)</f>
        <v>0</v>
      </c>
      <c r="F51" s="99">
        <f>IFERROR(VLOOKUP(C51,'Te gebruiken meststoffen'!$R$3:$AA$10,4,FALSE),0)</f>
        <v>0</v>
      </c>
      <c r="G51" s="99">
        <f>IFERROR(VLOOKUP(C51,'Te gebruiken meststoffen'!$R$3:$AA$10,5,FALSE),0)</f>
        <v>0</v>
      </c>
      <c r="H51" s="99">
        <f>IFERROR(VLOOKUP(C51,'Te gebruiken meststoffen'!$R$3:$AA$10,6,FALSE),0)</f>
        <v>0</v>
      </c>
      <c r="I51" s="99">
        <f>IFERROR(VLOOKUP(C51,'Te gebruiken meststoffen'!$R$3:$AA$10,7,FALSE),0)</f>
        <v>0</v>
      </c>
      <c r="J51" s="99">
        <f>IFERROR(VLOOKUP(C51,'Te gebruiken meststoffen'!$R$3:$AA$10,8,FALSE),0)</f>
        <v>0</v>
      </c>
      <c r="K51" s="99">
        <f>IFERROR(VLOOKUP(C51,'Te gebruiken meststoffen'!$R$3:$AA$10,9,FALSE),0)</f>
        <v>0</v>
      </c>
      <c r="L51" s="130">
        <f>IFERROR(VLOOKUP(C51,'Te gebruiken meststoffen'!$R$3:$AB$10,10,FALSE),0)</f>
        <v>0</v>
      </c>
      <c r="M51" s="99">
        <f>IFERROR(VLOOKUP(C51,'Te gebruiken meststoffen'!$R$3:$AH$10,17,FALSE),0)</f>
        <v>0</v>
      </c>
      <c r="N51" s="78">
        <f>IFERROR(VLOOKUP(C51,'Te gebruiken meststoffen'!$R$3:$AG$10,13,FALSE),0)</f>
        <v>0</v>
      </c>
      <c r="O51" s="78">
        <f>IFERROR(VLOOKUP(C51,'Te gebruiken meststoffen'!$R$3:$AG$10,14,FALSE),0)</f>
        <v>0</v>
      </c>
      <c r="P51" s="78">
        <f>IFERROR(VLOOKUP(C51,'Te gebruiken meststoffen'!$R$3:$AG$10,15,FALSE),0)</f>
        <v>0</v>
      </c>
      <c r="Q51" s="78">
        <f>IFERROR(VLOOKUP(C51,'Te gebruiken meststoffen'!$R$3:$AG$10,16,FALSE),0)</f>
        <v>0</v>
      </c>
      <c r="T51" s="149" t="e">
        <f>VLOOKUP(C51,'Te gebruiken meststoffen'!$R$3:$AB$10,11,FALSE)</f>
        <v>#N/A</v>
      </c>
    </row>
    <row r="52" spans="1:38" x14ac:dyDescent="0.3">
      <c r="C52" s="104" t="str">
        <f>IF(NOT('Te gebruiken meststoffen'!R10=0), 'Te gebruiken meststoffen'!R10,"")</f>
        <v/>
      </c>
      <c r="D52" s="86" t="str">
        <f>IFERROR(VLOOKUP(C52,'Te gebruiken meststoffen'!$R$3:$AA$10,2,FALSE),"")</f>
        <v/>
      </c>
      <c r="E52" s="99">
        <f>IFERROR(VLOOKUP(C52,'Te gebruiken meststoffen'!$R$3:$AA$10,3,FALSE),0)</f>
        <v>0</v>
      </c>
      <c r="F52" s="99">
        <f>IFERROR(VLOOKUP(C52,'Te gebruiken meststoffen'!$R$3:$AA$10,4,FALSE),0)</f>
        <v>0</v>
      </c>
      <c r="G52" s="99">
        <f>IFERROR(VLOOKUP(C52,'Te gebruiken meststoffen'!$R$3:$AA$10,5,FALSE),0)</f>
        <v>0</v>
      </c>
      <c r="H52" s="99">
        <f>IFERROR(VLOOKUP(C52,'Te gebruiken meststoffen'!$R$3:$AA$10,6,FALSE),0)</f>
        <v>0</v>
      </c>
      <c r="I52" s="99">
        <f>IFERROR(VLOOKUP(C52,'Te gebruiken meststoffen'!$R$3:$AA$10,7,FALSE),0)</f>
        <v>0</v>
      </c>
      <c r="J52" s="99">
        <f>IFERROR(VLOOKUP(C52,'Te gebruiken meststoffen'!$R$3:$AA$10,8,FALSE),0)</f>
        <v>0</v>
      </c>
      <c r="K52" s="99">
        <f>IFERROR(VLOOKUP(C52,'Te gebruiken meststoffen'!$R$3:$AA$10,9,FALSE),0)</f>
        <v>0</v>
      </c>
      <c r="L52" s="130">
        <f>IFERROR(VLOOKUP(C52,'Te gebruiken meststoffen'!$R$3:$AB$10,10,FALSE),0)</f>
        <v>0</v>
      </c>
      <c r="M52" s="144">
        <f>IFERROR(VLOOKUP(C52,'Te gebruiken meststoffen'!$R$3:$AH$10,17,FALSE),0)</f>
        <v>0</v>
      </c>
      <c r="N52" s="78">
        <f>IFERROR(VLOOKUP(C52,'Te gebruiken meststoffen'!$R$3:$AG$10,13,FALSE),0)</f>
        <v>0</v>
      </c>
      <c r="O52" s="78">
        <f>IFERROR(VLOOKUP(C52,'Te gebruiken meststoffen'!$R$3:$AG$10,14,FALSE),0)</f>
        <v>0</v>
      </c>
      <c r="P52" s="78">
        <f>IFERROR(VLOOKUP(C52,'Te gebruiken meststoffen'!$R$3:$AG$10,15,FALSE),0)</f>
        <v>0</v>
      </c>
      <c r="Q52" s="78">
        <f>IFERROR(VLOOKUP(C52,'Te gebruiken meststoffen'!$R$3:$AG$10,16,FALSE),0)</f>
        <v>0</v>
      </c>
      <c r="T52" s="149" t="e">
        <f>VLOOKUP(C52,'Te gebruiken meststoffen'!$R$3:$AB$10,11,FALSE)</f>
        <v>#N/A</v>
      </c>
    </row>
    <row r="53" spans="1:38" x14ac:dyDescent="0.3">
      <c r="C53" t="str">
        <f>IF(G4=1,_xlfn.CONCAT($G$3," ",G4),"")</f>
        <v/>
      </c>
      <c r="D53" t="str">
        <f>IF(C53="","","kg")</f>
        <v/>
      </c>
      <c r="E53" s="78" t="str">
        <f t="shared" ref="E53:G58" si="12">IF(C53="","",P4)</f>
        <v/>
      </c>
      <c r="F53" s="78" t="str">
        <f t="shared" si="12"/>
        <v/>
      </c>
      <c r="G53" s="78" t="str">
        <f t="shared" si="12"/>
        <v/>
      </c>
      <c r="M53" s="193"/>
      <c r="N53" s="78" t="str">
        <f t="shared" ref="N53:N58" si="13">F53</f>
        <v/>
      </c>
      <c r="T53" s="149" t="str">
        <f>IF(E53="","","DIERLIJKE")</f>
        <v/>
      </c>
    </row>
    <row r="54" spans="1:38" x14ac:dyDescent="0.3">
      <c r="C54" t="str">
        <f>IF(G5=2,_xlfn.CONCAT($G$3," ",G5),"")</f>
        <v/>
      </c>
      <c r="D54" t="str">
        <f t="shared" ref="D54:D58" si="14">IF(C54="","","kg")</f>
        <v/>
      </c>
      <c r="E54" s="78" t="str">
        <f t="shared" si="12"/>
        <v/>
      </c>
      <c r="F54" s="78" t="str">
        <f t="shared" si="12"/>
        <v/>
      </c>
      <c r="G54" s="78" t="str">
        <f t="shared" si="12"/>
        <v/>
      </c>
      <c r="M54" s="194"/>
      <c r="N54" s="78" t="str">
        <f t="shared" si="13"/>
        <v/>
      </c>
      <c r="T54" s="149" t="str">
        <f t="shared" ref="T54:T58" si="15">IF(E54="","","DIERLIJKE")</f>
        <v/>
      </c>
    </row>
    <row r="55" spans="1:38" x14ac:dyDescent="0.3">
      <c r="C55" t="str">
        <f>IF(G6=3,_xlfn.CONCAT($G$3," ",G6),"")</f>
        <v/>
      </c>
      <c r="D55" t="str">
        <f t="shared" si="14"/>
        <v/>
      </c>
      <c r="E55" s="78" t="str">
        <f t="shared" si="12"/>
        <v/>
      </c>
      <c r="F55" s="78" t="str">
        <f t="shared" si="12"/>
        <v/>
      </c>
      <c r="G55" s="78" t="str">
        <f t="shared" si="12"/>
        <v/>
      </c>
      <c r="M55" s="194"/>
      <c r="N55" s="78" t="str">
        <f t="shared" si="13"/>
        <v/>
      </c>
      <c r="T55" s="149" t="str">
        <f t="shared" si="15"/>
        <v/>
      </c>
    </row>
    <row r="56" spans="1:38" x14ac:dyDescent="0.3">
      <c r="C56" t="str">
        <f>IF(G7=4,_xlfn.CONCAT($G$3," ",G7),"")</f>
        <v/>
      </c>
      <c r="D56" t="str">
        <f t="shared" si="14"/>
        <v/>
      </c>
      <c r="E56" s="78" t="str">
        <f t="shared" si="12"/>
        <v/>
      </c>
      <c r="F56" s="78" t="str">
        <f t="shared" si="12"/>
        <v/>
      </c>
      <c r="G56" s="78" t="str">
        <f t="shared" si="12"/>
        <v/>
      </c>
      <c r="M56" s="189"/>
      <c r="N56" s="78" t="str">
        <f t="shared" si="13"/>
        <v/>
      </c>
      <c r="T56" s="149" t="str">
        <f t="shared" si="15"/>
        <v/>
      </c>
    </row>
    <row r="57" spans="1:38" x14ac:dyDescent="0.3">
      <c r="C57" t="str">
        <f>IF(G8=5,_xlfn.CONCAT($G$3," ",G8),"")</f>
        <v/>
      </c>
      <c r="D57" t="str">
        <f t="shared" si="14"/>
        <v/>
      </c>
      <c r="E57" s="78" t="str">
        <f t="shared" si="12"/>
        <v/>
      </c>
      <c r="F57" s="78" t="str">
        <f t="shared" si="12"/>
        <v/>
      </c>
      <c r="G57" s="78" t="str">
        <f t="shared" si="12"/>
        <v/>
      </c>
      <c r="M57" s="189"/>
      <c r="N57" s="78" t="str">
        <f t="shared" si="13"/>
        <v/>
      </c>
      <c r="T57" s="149" t="str">
        <f t="shared" si="15"/>
        <v/>
      </c>
    </row>
    <row r="58" spans="1:38" x14ac:dyDescent="0.3">
      <c r="C58" t="str">
        <f>IF(G9=6,_xlfn.CONCAT($G$3," ",G9),"")</f>
        <v/>
      </c>
      <c r="D58" t="str">
        <f t="shared" si="14"/>
        <v/>
      </c>
      <c r="E58" s="78" t="str">
        <f t="shared" si="12"/>
        <v/>
      </c>
      <c r="F58" s="78" t="str">
        <f t="shared" si="12"/>
        <v/>
      </c>
      <c r="G58" s="78" t="str">
        <f t="shared" si="12"/>
        <v/>
      </c>
      <c r="M58" s="189"/>
      <c r="N58" s="78" t="str">
        <f t="shared" si="13"/>
        <v/>
      </c>
      <c r="T58" s="149" t="str">
        <f t="shared" si="15"/>
        <v/>
      </c>
    </row>
    <row r="59" spans="1:38" ht="18" x14ac:dyDescent="0.35">
      <c r="C59" s="29" t="s">
        <v>463</v>
      </c>
      <c r="T59" s="147"/>
    </row>
    <row r="60" spans="1:38" ht="15" thickBot="1" x14ac:dyDescent="0.35"/>
    <row r="61" spans="1:38" ht="19.8" thickBot="1" x14ac:dyDescent="0.35">
      <c r="C61" s="47" t="s">
        <v>464</v>
      </c>
      <c r="D61" s="56" t="s">
        <v>532</v>
      </c>
      <c r="E61" s="56" t="s">
        <v>467</v>
      </c>
      <c r="F61" s="48" t="s">
        <v>470</v>
      </c>
      <c r="G61" s="48" t="s">
        <v>400</v>
      </c>
      <c r="H61" s="48" t="s">
        <v>414</v>
      </c>
      <c r="I61" s="48" t="s">
        <v>415</v>
      </c>
      <c r="J61" s="48" t="s">
        <v>416</v>
      </c>
      <c r="K61" s="48" t="s">
        <v>417</v>
      </c>
      <c r="L61" s="48" t="s">
        <v>418</v>
      </c>
      <c r="M61" s="57" t="s">
        <v>419</v>
      </c>
      <c r="N61" s="82" t="s">
        <v>510</v>
      </c>
      <c r="O61" s="48" t="s">
        <v>494</v>
      </c>
      <c r="P61" s="48" t="s">
        <v>491</v>
      </c>
      <c r="Q61" s="48" t="s">
        <v>492</v>
      </c>
      <c r="R61" s="57" t="s">
        <v>493</v>
      </c>
      <c r="S61" s="81" t="s">
        <v>608</v>
      </c>
      <c r="T61" s="136" t="s">
        <v>613</v>
      </c>
      <c r="U61" s="56"/>
      <c r="V61" s="56" t="s">
        <v>614</v>
      </c>
      <c r="W61" s="80" t="s">
        <v>616</v>
      </c>
      <c r="Y61" s="147" t="str">
        <f>_xlfn.CONCAT("Kostprijs bemesting ",C45," (EUR/ha)")</f>
        <v>Kostprijs bemesting  (EUR/ha)</v>
      </c>
      <c r="Z61" s="147" t="str">
        <f>_xlfn.CONCAT("Kostprijs bemesting ",C46," (EUR/ha)")</f>
        <v>Kostprijs bemesting  (EUR/ha)</v>
      </c>
      <c r="AA61" s="147" t="str">
        <f>_xlfn.CONCAT("Kostprijs bemesting ",C47," (EUR/ha)")</f>
        <v>Kostprijs bemesting  (EUR/ha)</v>
      </c>
      <c r="AB61" s="147" t="str">
        <f>_xlfn.CONCAT("Kostprijs bemesting ",C48," (EUR/ha)")</f>
        <v>Kostprijs bemesting  (EUR/ha)</v>
      </c>
      <c r="AC61" s="147" t="str">
        <f>_xlfn.CONCAT("Kostprijs bemesting ",C49," (EUR/ha)")</f>
        <v>Kostprijs bemesting  (EUR/ha)</v>
      </c>
      <c r="AD61" s="147" t="str">
        <f>_xlfn.CONCAT("Kostprijs bemesting ",C50," (EUR/ha)")</f>
        <v>Kostprijs bemesting  (EUR/ha)</v>
      </c>
      <c r="AE61" s="147" t="str">
        <f>_xlfn.CONCAT("Kostprijs bemesting ",C51," (EUR/ha)")</f>
        <v>Kostprijs bemesting  (EUR/ha)</v>
      </c>
      <c r="AF61" s="147" t="str">
        <f>_xlfn.CONCAT("Kostprijs bemesting ",C52," (EUR/ha)")</f>
        <v>Kostprijs bemesting  (EUR/ha)</v>
      </c>
      <c r="AG61" s="147" t="str">
        <f>_xlfn.CONCAT("Kostprijs bemesting ",C53," (EUR/ha)")</f>
        <v>Kostprijs bemesting  (EUR/ha)</v>
      </c>
      <c r="AH61" s="147" t="str">
        <f>_xlfn.CONCAT("Kostprijs bemesting ",C54," (EUR/ha)")</f>
        <v>Kostprijs bemesting  (EUR/ha)</v>
      </c>
      <c r="AI61" s="147" t="str">
        <f>_xlfn.CONCAT("Kostprijs bemesting ",C55," (EUR/ha)")</f>
        <v>Kostprijs bemesting  (EUR/ha)</v>
      </c>
      <c r="AJ61" s="147" t="str">
        <f>_xlfn.CONCAT("Kostprijs bemesting ",C56," (EUR/ha)")</f>
        <v>Kostprijs bemesting  (EUR/ha)</v>
      </c>
      <c r="AK61" s="147" t="str">
        <f>_xlfn.CONCAT("Kostprijs bemesting ",C57," (EUR/ha)")</f>
        <v>Kostprijs bemesting  (EUR/ha)</v>
      </c>
      <c r="AL61" s="147" t="str">
        <f>_xlfn.CONCAT("Kostprijs bemesting ",C58," (EUR/ha)")</f>
        <v>Kostprijs bemesting  (EUR/ha)</v>
      </c>
    </row>
    <row r="62" spans="1:38" ht="15" thickBot="1" x14ac:dyDescent="0.35">
      <c r="A62" s="128" t="s">
        <v>611</v>
      </c>
      <c r="C62" s="97" t="s">
        <v>465</v>
      </c>
      <c r="M62" s="43"/>
      <c r="T62" s="115"/>
      <c r="U62" s="76"/>
      <c r="V62" s="132"/>
      <c r="W62" s="133"/>
      <c r="Y62" s="147" t="str">
        <f>C45</f>
        <v/>
      </c>
      <c r="Z62" s="147" t="str">
        <f>C46</f>
        <v/>
      </c>
      <c r="AA62" s="147" t="str">
        <f>C47</f>
        <v/>
      </c>
      <c r="AB62" s="147" t="str">
        <f>C48</f>
        <v/>
      </c>
      <c r="AC62" s="147" t="str">
        <f>C49</f>
        <v/>
      </c>
      <c r="AD62" s="147" t="str">
        <f>C50</f>
        <v/>
      </c>
      <c r="AE62" s="147" t="str">
        <f>C51</f>
        <v/>
      </c>
      <c r="AF62" s="147" t="str">
        <f>C52</f>
        <v/>
      </c>
      <c r="AG62" s="147" t="str">
        <f>C53</f>
        <v/>
      </c>
      <c r="AH62" s="147" t="str">
        <f>C54</f>
        <v/>
      </c>
      <c r="AI62" s="147" t="str">
        <f>C55</f>
        <v/>
      </c>
      <c r="AJ62" s="147" t="str">
        <f>C56</f>
        <v/>
      </c>
      <c r="AK62" s="147" t="str">
        <f>C57</f>
        <v/>
      </c>
      <c r="AL62" s="147" t="str">
        <f>C58</f>
        <v/>
      </c>
    </row>
    <row r="63" spans="1:38" x14ac:dyDescent="0.3">
      <c r="A63" s="195"/>
      <c r="C63" s="198"/>
      <c r="D63" s="199"/>
      <c r="E63" s="35" t="str">
        <f>_xlfn.IFNA(VLOOKUP(C63,'Te gebruiken meststoffen'!$R$3:$AC$10,12,FALSE),"")</f>
        <v/>
      </c>
      <c r="F63" s="50">
        <f>D63*(IFERROR(VLOOKUP(C63,$C$45:$Q$58,3,FALSE),0))</f>
        <v>0</v>
      </c>
      <c r="G63" s="50">
        <f>O63</f>
        <v>0</v>
      </c>
      <c r="H63" s="50">
        <f t="shared" ref="H63:H68" si="16">D63*(IFERROR(VLOOKUP(C63,$C$45:$Q$58,5,FALSE),0))</f>
        <v>0</v>
      </c>
      <c r="I63" s="50">
        <f>D63*(IFERROR(VLOOKUP(C63,$C$45:$Q$58,6,FALSE),0))</f>
        <v>0</v>
      </c>
      <c r="J63" s="50">
        <f t="shared" ref="J63:J68" si="17">D63*(IFERROR(VLOOKUP(C63,$C$45:$Q$58,7,FALSE),0))</f>
        <v>0</v>
      </c>
      <c r="K63" s="50">
        <f t="shared" ref="K63:K68" si="18">D63*(IFERROR(VLOOKUP(C63,$C$45:$Q$58,8,FALSE),0))</f>
        <v>0</v>
      </c>
      <c r="L63" s="50">
        <f t="shared" ref="L63:L68" si="19">D63*(IFERROR(VLOOKUP(C63,$C$45:$Q$58,9,FALSE),0))</f>
        <v>0</v>
      </c>
      <c r="M63" s="51">
        <f t="shared" ref="M63:M68" si="20">D63*(IFERROR(VLOOKUP(C63,$C$45:$Q$58,10,FALSE),0))</f>
        <v>0</v>
      </c>
      <c r="N63">
        <f>O63</f>
        <v>0</v>
      </c>
      <c r="O63">
        <f t="shared" ref="O63:O68" si="21">D63*(IFERROR(VLOOKUP(C63,$C$45:$Q$58,12,FALSE),0))</f>
        <v>0</v>
      </c>
      <c r="P63">
        <f t="shared" ref="P63:P68" si="22">D63*(IFERROR(VLOOKUP(C63,$C$45:$Q$58,13,FALSE),0))</f>
        <v>0</v>
      </c>
      <c r="Q63">
        <f t="shared" ref="Q63:Q68" si="23">D63*(IFERROR(VLOOKUP(C63,$C$45:$Q$58,14,FALSE),0))</f>
        <v>0</v>
      </c>
      <c r="R63">
        <f t="shared" ref="R63:R68" si="24">D63*(IFERROR(VLOOKUP(C63,$C$45:$Q$58,15,FALSE),0))</f>
        <v>0</v>
      </c>
      <c r="S63">
        <f t="shared" ref="S63:S68" si="25">IF(F63&gt;0,F63,G63)</f>
        <v>0</v>
      </c>
      <c r="T63" s="34" t="str">
        <f>IF(D63="","",D63*$D$9)</f>
        <v/>
      </c>
      <c r="U63" s="35" t="str">
        <f>IF(D63="","",E63)</f>
        <v/>
      </c>
      <c r="V63" s="35" t="str">
        <f>IF(D63="","",D63*(VLOOKUP(C63,$C$45:$M$58,11,FALSE)))</f>
        <v/>
      </c>
      <c r="W63" s="36" t="str">
        <f>IF(T63="","",T63*(VLOOKUP(C63,$C$45:$M$58,11,FALSE)))</f>
        <v/>
      </c>
      <c r="Y63" s="147" t="str">
        <f>IF(C63=$C$45,V63,"")</f>
        <v/>
      </c>
      <c r="Z63" s="147" t="str">
        <f>IF(C63=$C$46,V63,"")</f>
        <v/>
      </c>
      <c r="AA63" s="147" t="str">
        <f>IF(C63=$C$47,V63,"")</f>
        <v/>
      </c>
      <c r="AB63" s="147" t="str">
        <f>IF(C63=$C$48,V63,"")</f>
        <v/>
      </c>
      <c r="AC63" s="147" t="str">
        <f>IF(C63=$C$49,V63,"")</f>
        <v/>
      </c>
      <c r="AD63" s="147" t="str">
        <f>IF(C63=$C$50,V63,"")</f>
        <v/>
      </c>
      <c r="AE63" s="147" t="str">
        <f>IF(C63=$C$51,V63,"")</f>
        <v/>
      </c>
      <c r="AF63" s="147" t="str">
        <f>IF(C63=$C$52,V63,"")</f>
        <v/>
      </c>
      <c r="AG63" s="147" t="str">
        <f>IF(C63=$C$53,V63,"")</f>
        <v/>
      </c>
      <c r="AH63" s="147" t="str">
        <f>IF(C63=$C$54,V63,"")</f>
        <v/>
      </c>
      <c r="AI63" s="147" t="str">
        <f>IF(C63=$C$55,V63,"")</f>
        <v/>
      </c>
      <c r="AJ63" s="147" t="str">
        <f>IF(C63=$C$56,V63,"")</f>
        <v/>
      </c>
      <c r="AK63" s="147" t="str">
        <f>IF(C63=$C$57,V63,"")</f>
        <v/>
      </c>
      <c r="AL63" s="147" t="str">
        <f>IF(C63=$C$58,V63,"")</f>
        <v/>
      </c>
    </row>
    <row r="64" spans="1:38" x14ac:dyDescent="0.3">
      <c r="A64" s="196"/>
      <c r="C64" s="200"/>
      <c r="D64" s="201"/>
      <c r="E64" t="str">
        <f>_xlfn.IFNA(VLOOKUP(C64,'Te gebruiken meststoffen'!$R$3:$AC$10,12,FALSE),"")</f>
        <v/>
      </c>
      <c r="F64" s="52">
        <f>D64*(IFERROR(VLOOKUP(C64,$C$45:$Q$58,3,FALSE),0))</f>
        <v>0</v>
      </c>
      <c r="G64" s="52">
        <f t="shared" ref="G64:G68" si="26">O64</f>
        <v>0</v>
      </c>
      <c r="H64" s="52">
        <f t="shared" si="16"/>
        <v>0</v>
      </c>
      <c r="I64" s="52">
        <f t="shared" ref="I64:I68" si="27">D64*(IFERROR(VLOOKUP(C64,$C$45:$Q$58,6,FALSE),0))</f>
        <v>0</v>
      </c>
      <c r="J64" s="52">
        <f t="shared" si="17"/>
        <v>0</v>
      </c>
      <c r="K64" s="52">
        <f t="shared" si="18"/>
        <v>0</v>
      </c>
      <c r="L64" s="52">
        <f t="shared" si="19"/>
        <v>0</v>
      </c>
      <c r="M64" s="53">
        <f t="shared" si="20"/>
        <v>0</v>
      </c>
      <c r="N64">
        <f>O64</f>
        <v>0</v>
      </c>
      <c r="O64">
        <f t="shared" si="21"/>
        <v>0</v>
      </c>
      <c r="P64">
        <f t="shared" si="22"/>
        <v>0</v>
      </c>
      <c r="Q64">
        <f t="shared" si="23"/>
        <v>0</v>
      </c>
      <c r="R64">
        <f t="shared" si="24"/>
        <v>0</v>
      </c>
      <c r="S64">
        <f t="shared" si="25"/>
        <v>0</v>
      </c>
      <c r="T64" s="40" t="str">
        <f t="shared" ref="T64:T68" si="28">IF(D64="","",D64*$D$9)</f>
        <v/>
      </c>
      <c r="U64" t="str">
        <f t="shared" ref="U64:U68" si="29">IF(D64="","",E64)</f>
        <v/>
      </c>
      <c r="V64" t="str">
        <f t="shared" ref="V64:V68" si="30">IF(D64="","",D64*(VLOOKUP(C64,$C$45:$M$58,11,FALSE)))</f>
        <v/>
      </c>
      <c r="W64" s="43" t="str">
        <f t="shared" ref="W64:W68" si="31">IF(T64="","",T64*(VLOOKUP(C64,$C$45:$M$58,11,FALSE)))</f>
        <v/>
      </c>
      <c r="Y64" s="147" t="str">
        <f t="shared" ref="Y64:Y108" si="32">IF(C64=$C$45,V64,"")</f>
        <v/>
      </c>
      <c r="Z64" s="147" t="str">
        <f t="shared" ref="Z64:Z108" si="33">IF(C64=$C$46,V64,"")</f>
        <v/>
      </c>
      <c r="AA64" s="147" t="str">
        <f t="shared" ref="AA64:AA108" si="34">IF(C64=$C$47,V64,"")</f>
        <v/>
      </c>
      <c r="AB64" s="147" t="str">
        <f t="shared" ref="AB64:AB108" si="35">IF(C64=$C$48,V64,"")</f>
        <v/>
      </c>
      <c r="AC64" s="147" t="str">
        <f t="shared" ref="AC64:AC108" si="36">IF(C64=$C$49,V64,"")</f>
        <v/>
      </c>
      <c r="AD64" s="147" t="str">
        <f t="shared" ref="AD64:AD108" si="37">IF(C64=$C$50,V64,"")</f>
        <v/>
      </c>
      <c r="AE64" s="147" t="str">
        <f t="shared" ref="AE64:AE108" si="38">IF(C64=$C$51,V64,"")</f>
        <v/>
      </c>
      <c r="AF64" s="147" t="str">
        <f t="shared" ref="AF64:AF108" si="39">IF(C64=$C$52,V64,"")</f>
        <v/>
      </c>
      <c r="AG64" s="147" t="str">
        <f t="shared" ref="AG64:AG108" si="40">IF(C64=$C$53,V64,"")</f>
        <v/>
      </c>
      <c r="AH64" s="147" t="str">
        <f t="shared" ref="AH64:AH108" si="41">IF(C64=$C$54,V64,"")</f>
        <v/>
      </c>
      <c r="AI64" s="147" t="str">
        <f t="shared" ref="AI64:AI108" si="42">IF(C64=$C$55,V64,"")</f>
        <v/>
      </c>
      <c r="AJ64" s="147" t="str">
        <f t="shared" ref="AJ64:AJ108" si="43">IF(C64=$C$56,V64,"")</f>
        <v/>
      </c>
      <c r="AK64" s="147" t="str">
        <f t="shared" ref="AK64:AK108" si="44">IF(C64=$C$57,V64,"")</f>
        <v/>
      </c>
      <c r="AL64" s="147" t="str">
        <f t="shared" ref="AL64:AL108" si="45">IF(C64=$C$58,V64,"")</f>
        <v/>
      </c>
    </row>
    <row r="65" spans="1:38" x14ac:dyDescent="0.3">
      <c r="A65" s="196"/>
      <c r="C65" s="200"/>
      <c r="D65" s="201"/>
      <c r="E65" t="str">
        <f>_xlfn.IFNA(VLOOKUP(C65,'Te gebruiken meststoffen'!$R$3:$AC$10,12,FALSE),"")</f>
        <v/>
      </c>
      <c r="F65" s="52">
        <f t="shared" ref="F65:F68" si="46">D65*(IFERROR(VLOOKUP(C65,$C$45:$Q$58,3,FALSE),0))</f>
        <v>0</v>
      </c>
      <c r="G65" s="52">
        <f t="shared" si="26"/>
        <v>0</v>
      </c>
      <c r="H65" s="52">
        <f t="shared" si="16"/>
        <v>0</v>
      </c>
      <c r="I65" s="52">
        <f t="shared" si="27"/>
        <v>0</v>
      </c>
      <c r="J65" s="52">
        <f t="shared" si="17"/>
        <v>0</v>
      </c>
      <c r="K65" s="52">
        <f t="shared" si="18"/>
        <v>0</v>
      </c>
      <c r="L65" s="52">
        <f t="shared" si="19"/>
        <v>0</v>
      </c>
      <c r="M65" s="53">
        <f t="shared" si="20"/>
        <v>0</v>
      </c>
      <c r="N65">
        <f t="shared" ref="N65:N68" si="47">O65</f>
        <v>0</v>
      </c>
      <c r="O65">
        <f t="shared" si="21"/>
        <v>0</v>
      </c>
      <c r="P65">
        <f t="shared" si="22"/>
        <v>0</v>
      </c>
      <c r="Q65">
        <f t="shared" si="23"/>
        <v>0</v>
      </c>
      <c r="R65">
        <f t="shared" si="24"/>
        <v>0</v>
      </c>
      <c r="S65">
        <f t="shared" si="25"/>
        <v>0</v>
      </c>
      <c r="T65" s="40" t="str">
        <f t="shared" si="28"/>
        <v/>
      </c>
      <c r="U65" t="str">
        <f t="shared" si="29"/>
        <v/>
      </c>
      <c r="V65" t="str">
        <f t="shared" si="30"/>
        <v/>
      </c>
      <c r="W65" s="43" t="str">
        <f t="shared" si="31"/>
        <v/>
      </c>
      <c r="Y65" s="147" t="str">
        <f t="shared" si="32"/>
        <v/>
      </c>
      <c r="Z65" s="147" t="str">
        <f t="shared" si="33"/>
        <v/>
      </c>
      <c r="AA65" s="147" t="str">
        <f t="shared" si="34"/>
        <v/>
      </c>
      <c r="AB65" s="147" t="str">
        <f t="shared" si="35"/>
        <v/>
      </c>
      <c r="AC65" s="147" t="str">
        <f t="shared" si="36"/>
        <v/>
      </c>
      <c r="AD65" s="147" t="str">
        <f t="shared" si="37"/>
        <v/>
      </c>
      <c r="AE65" s="147" t="str">
        <f t="shared" si="38"/>
        <v/>
      </c>
      <c r="AF65" s="147" t="str">
        <f t="shared" si="39"/>
        <v/>
      </c>
      <c r="AG65" s="147" t="str">
        <f t="shared" si="40"/>
        <v/>
      </c>
      <c r="AH65" s="147" t="str">
        <f t="shared" si="41"/>
        <v/>
      </c>
      <c r="AI65" s="147" t="str">
        <f t="shared" si="42"/>
        <v/>
      </c>
      <c r="AJ65" s="147" t="str">
        <f t="shared" si="43"/>
        <v/>
      </c>
      <c r="AK65" s="147" t="str">
        <f t="shared" si="44"/>
        <v/>
      </c>
      <c r="AL65" s="147" t="str">
        <f t="shared" si="45"/>
        <v/>
      </c>
    </row>
    <row r="66" spans="1:38" x14ac:dyDescent="0.3">
      <c r="A66" s="196"/>
      <c r="C66" s="200"/>
      <c r="D66" s="201"/>
      <c r="E66" t="str">
        <f>_xlfn.IFNA(VLOOKUP(C66,'Te gebruiken meststoffen'!$R$3:$AC$10,12,FALSE),"")</f>
        <v/>
      </c>
      <c r="F66" s="52">
        <f t="shared" si="46"/>
        <v>0</v>
      </c>
      <c r="G66" s="52">
        <f t="shared" si="26"/>
        <v>0</v>
      </c>
      <c r="H66" s="52">
        <f t="shared" si="16"/>
        <v>0</v>
      </c>
      <c r="I66" s="52">
        <f t="shared" si="27"/>
        <v>0</v>
      </c>
      <c r="J66" s="52">
        <f t="shared" si="17"/>
        <v>0</v>
      </c>
      <c r="K66" s="52">
        <f t="shared" si="18"/>
        <v>0</v>
      </c>
      <c r="L66" s="52">
        <f t="shared" si="19"/>
        <v>0</v>
      </c>
      <c r="M66" s="53">
        <f t="shared" si="20"/>
        <v>0</v>
      </c>
      <c r="N66">
        <f t="shared" si="47"/>
        <v>0</v>
      </c>
      <c r="O66">
        <f t="shared" si="21"/>
        <v>0</v>
      </c>
      <c r="P66">
        <f t="shared" si="22"/>
        <v>0</v>
      </c>
      <c r="Q66">
        <f t="shared" si="23"/>
        <v>0</v>
      </c>
      <c r="R66">
        <f t="shared" si="24"/>
        <v>0</v>
      </c>
      <c r="S66">
        <f t="shared" si="25"/>
        <v>0</v>
      </c>
      <c r="T66" s="40" t="str">
        <f t="shared" si="28"/>
        <v/>
      </c>
      <c r="U66" t="str">
        <f t="shared" si="29"/>
        <v/>
      </c>
      <c r="V66" t="str">
        <f t="shared" si="30"/>
        <v/>
      </c>
      <c r="W66" s="43" t="str">
        <f t="shared" si="31"/>
        <v/>
      </c>
      <c r="Y66" s="147" t="str">
        <f t="shared" si="32"/>
        <v/>
      </c>
      <c r="Z66" s="147" t="str">
        <f t="shared" si="33"/>
        <v/>
      </c>
      <c r="AA66" s="147" t="str">
        <f t="shared" si="34"/>
        <v/>
      </c>
      <c r="AB66" s="147" t="str">
        <f t="shared" si="35"/>
        <v/>
      </c>
      <c r="AC66" s="147" t="str">
        <f t="shared" si="36"/>
        <v/>
      </c>
      <c r="AD66" s="147" t="str">
        <f t="shared" si="37"/>
        <v/>
      </c>
      <c r="AE66" s="147" t="str">
        <f t="shared" si="38"/>
        <v/>
      </c>
      <c r="AF66" s="147" t="str">
        <f t="shared" si="39"/>
        <v/>
      </c>
      <c r="AG66" s="147" t="str">
        <f t="shared" si="40"/>
        <v/>
      </c>
      <c r="AH66" s="147" t="str">
        <f t="shared" si="41"/>
        <v/>
      </c>
      <c r="AI66" s="147" t="str">
        <f t="shared" si="42"/>
        <v/>
      </c>
      <c r="AJ66" s="147" t="str">
        <f t="shared" si="43"/>
        <v/>
      </c>
      <c r="AK66" s="147" t="str">
        <f t="shared" si="44"/>
        <v/>
      </c>
      <c r="AL66" s="147" t="str">
        <f t="shared" si="45"/>
        <v/>
      </c>
    </row>
    <row r="67" spans="1:38" x14ac:dyDescent="0.3">
      <c r="A67" s="196"/>
      <c r="C67" s="200"/>
      <c r="D67" s="201"/>
      <c r="E67" t="str">
        <f>_xlfn.IFNA(VLOOKUP(C67,'Te gebruiken meststoffen'!$R$3:$AC$10,12,FALSE),"")</f>
        <v/>
      </c>
      <c r="F67" s="52">
        <f t="shared" si="46"/>
        <v>0</v>
      </c>
      <c r="G67" s="52">
        <f t="shared" si="26"/>
        <v>0</v>
      </c>
      <c r="H67" s="52">
        <f t="shared" si="16"/>
        <v>0</v>
      </c>
      <c r="I67" s="52">
        <f t="shared" si="27"/>
        <v>0</v>
      </c>
      <c r="J67" s="52">
        <f t="shared" si="17"/>
        <v>0</v>
      </c>
      <c r="K67" s="52">
        <f t="shared" si="18"/>
        <v>0</v>
      </c>
      <c r="L67" s="52">
        <f t="shared" si="19"/>
        <v>0</v>
      </c>
      <c r="M67" s="53">
        <f t="shared" si="20"/>
        <v>0</v>
      </c>
      <c r="N67">
        <f t="shared" si="47"/>
        <v>0</v>
      </c>
      <c r="O67">
        <f t="shared" si="21"/>
        <v>0</v>
      </c>
      <c r="P67">
        <f t="shared" si="22"/>
        <v>0</v>
      </c>
      <c r="Q67">
        <f t="shared" si="23"/>
        <v>0</v>
      </c>
      <c r="R67">
        <f t="shared" si="24"/>
        <v>0</v>
      </c>
      <c r="S67">
        <f t="shared" si="25"/>
        <v>0</v>
      </c>
      <c r="T67" s="40" t="str">
        <f t="shared" si="28"/>
        <v/>
      </c>
      <c r="U67" t="str">
        <f t="shared" si="29"/>
        <v/>
      </c>
      <c r="V67" t="str">
        <f>IF(D67="","",D67*(VLOOKUP(C67,$C$45:$M$58,11,FALSE)))</f>
        <v/>
      </c>
      <c r="W67" s="43" t="str">
        <f t="shared" si="31"/>
        <v/>
      </c>
      <c r="Y67" s="147" t="str">
        <f t="shared" si="32"/>
        <v/>
      </c>
      <c r="Z67" s="147" t="str">
        <f t="shared" si="33"/>
        <v/>
      </c>
      <c r="AA67" s="147" t="str">
        <f t="shared" si="34"/>
        <v/>
      </c>
      <c r="AB67" s="147" t="str">
        <f t="shared" si="35"/>
        <v/>
      </c>
      <c r="AC67" s="147" t="str">
        <f t="shared" si="36"/>
        <v/>
      </c>
      <c r="AD67" s="147" t="str">
        <f t="shared" si="37"/>
        <v/>
      </c>
      <c r="AE67" s="147" t="str">
        <f t="shared" si="38"/>
        <v/>
      </c>
      <c r="AF67" s="147" t="str">
        <f t="shared" si="39"/>
        <v/>
      </c>
      <c r="AG67" s="147" t="str">
        <f t="shared" si="40"/>
        <v/>
      </c>
      <c r="AH67" s="147" t="str">
        <f t="shared" si="41"/>
        <v/>
      </c>
      <c r="AI67" s="147" t="str">
        <f t="shared" si="42"/>
        <v/>
      </c>
      <c r="AJ67" s="147" t="str">
        <f t="shared" si="43"/>
        <v/>
      </c>
      <c r="AK67" s="147" t="str">
        <f t="shared" si="44"/>
        <v/>
      </c>
      <c r="AL67" s="147" t="str">
        <f t="shared" si="45"/>
        <v/>
      </c>
    </row>
    <row r="68" spans="1:38" ht="15" thickBot="1" x14ac:dyDescent="0.35">
      <c r="A68" s="197"/>
      <c r="C68" s="202"/>
      <c r="D68" s="203"/>
      <c r="E68" s="38" t="str">
        <f>_xlfn.IFNA(VLOOKUP(C68,'Te gebruiken meststoffen'!$R$3:$AC$10,12,FALSE),"")</f>
        <v/>
      </c>
      <c r="F68" s="54">
        <f t="shared" si="46"/>
        <v>0</v>
      </c>
      <c r="G68" s="54">
        <f t="shared" si="26"/>
        <v>0</v>
      </c>
      <c r="H68" s="54">
        <f t="shared" si="16"/>
        <v>0</v>
      </c>
      <c r="I68" s="54">
        <f t="shared" si="27"/>
        <v>0</v>
      </c>
      <c r="J68" s="54">
        <f t="shared" si="17"/>
        <v>0</v>
      </c>
      <c r="K68" s="54">
        <f t="shared" si="18"/>
        <v>0</v>
      </c>
      <c r="L68" s="54">
        <f t="shared" si="19"/>
        <v>0</v>
      </c>
      <c r="M68" s="55">
        <f t="shared" si="20"/>
        <v>0</v>
      </c>
      <c r="N68">
        <f t="shared" si="47"/>
        <v>0</v>
      </c>
      <c r="O68">
        <f t="shared" si="21"/>
        <v>0</v>
      </c>
      <c r="P68">
        <f t="shared" si="22"/>
        <v>0</v>
      </c>
      <c r="Q68">
        <f t="shared" si="23"/>
        <v>0</v>
      </c>
      <c r="R68">
        <f t="shared" si="24"/>
        <v>0</v>
      </c>
      <c r="S68">
        <f t="shared" si="25"/>
        <v>0</v>
      </c>
      <c r="T68" s="37" t="str">
        <f t="shared" si="28"/>
        <v/>
      </c>
      <c r="U68" s="38" t="str">
        <f t="shared" si="29"/>
        <v/>
      </c>
      <c r="V68" s="38" t="str">
        <f t="shared" si="30"/>
        <v/>
      </c>
      <c r="W68" s="39" t="str">
        <f t="shared" si="31"/>
        <v/>
      </c>
      <c r="Y68" s="147" t="str">
        <f t="shared" si="32"/>
        <v/>
      </c>
      <c r="Z68" s="147" t="str">
        <f t="shared" si="33"/>
        <v/>
      </c>
      <c r="AA68" s="147" t="str">
        <f t="shared" si="34"/>
        <v/>
      </c>
      <c r="AB68" s="147" t="str">
        <f t="shared" si="35"/>
        <v/>
      </c>
      <c r="AC68" s="147" t="str">
        <f t="shared" si="36"/>
        <v/>
      </c>
      <c r="AD68" s="147" t="str">
        <f t="shared" si="37"/>
        <v/>
      </c>
      <c r="AE68" s="147" t="str">
        <f t="shared" si="38"/>
        <v/>
      </c>
      <c r="AF68" s="147" t="str">
        <f t="shared" si="39"/>
        <v/>
      </c>
      <c r="AG68" s="147" t="str">
        <f t="shared" si="40"/>
        <v/>
      </c>
      <c r="AH68" s="147" t="str">
        <f t="shared" si="41"/>
        <v/>
      </c>
      <c r="AI68" s="147" t="str">
        <f t="shared" si="42"/>
        <v/>
      </c>
      <c r="AJ68" s="147" t="str">
        <f t="shared" si="43"/>
        <v/>
      </c>
      <c r="AK68" s="147" t="str">
        <f t="shared" si="44"/>
        <v/>
      </c>
      <c r="AL68" s="147" t="str">
        <f t="shared" si="45"/>
        <v/>
      </c>
    </row>
    <row r="69" spans="1:38" ht="15" thickBot="1" x14ac:dyDescent="0.35">
      <c r="C69" s="37"/>
      <c r="D69" s="38"/>
      <c r="E69" s="109" t="s">
        <v>504</v>
      </c>
      <c r="F69" s="110">
        <f t="shared" ref="F69:M69" si="48">SUM(F63:F68)</f>
        <v>0</v>
      </c>
      <c r="G69" s="110">
        <f>SUM(G63:G68)</f>
        <v>0</v>
      </c>
      <c r="H69" s="110">
        <f t="shared" si="48"/>
        <v>0</v>
      </c>
      <c r="I69" s="110">
        <f t="shared" si="48"/>
        <v>0</v>
      </c>
      <c r="J69" s="110">
        <f t="shared" si="48"/>
        <v>0</v>
      </c>
      <c r="K69" s="110">
        <f t="shared" si="48"/>
        <v>0</v>
      </c>
      <c r="L69" s="110">
        <f t="shared" si="48"/>
        <v>0</v>
      </c>
      <c r="M69" s="111">
        <f t="shared" si="48"/>
        <v>0</v>
      </c>
      <c r="N69" s="60">
        <f>SUM(O63:O68)</f>
        <v>0</v>
      </c>
      <c r="S69">
        <f>SUM(S63:S68)</f>
        <v>0</v>
      </c>
      <c r="T69" s="138"/>
      <c r="U69" s="139"/>
      <c r="V69" s="139">
        <f>SUM(V63:V68)</f>
        <v>0</v>
      </c>
      <c r="W69" s="140">
        <f>SUM(W63:W68)</f>
        <v>0</v>
      </c>
      <c r="Y69" s="147"/>
      <c r="Z69" s="147"/>
      <c r="AA69" s="147"/>
      <c r="AB69" s="147"/>
      <c r="AC69" s="147"/>
      <c r="AD69" s="147"/>
      <c r="AE69" s="147"/>
      <c r="AF69" s="147"/>
      <c r="AG69" s="147"/>
      <c r="AH69" s="147"/>
      <c r="AI69" s="147"/>
      <c r="AJ69" s="147"/>
      <c r="AK69" s="147"/>
      <c r="AL69" s="147"/>
    </row>
    <row r="70" spans="1:38" ht="15" thickBot="1" x14ac:dyDescent="0.35">
      <c r="A70" s="128" t="s">
        <v>611</v>
      </c>
      <c r="C70" s="115" t="s">
        <v>499</v>
      </c>
      <c r="D70" s="113" t="s">
        <v>619</v>
      </c>
      <c r="E70" s="76"/>
      <c r="F70" s="76"/>
      <c r="G70" s="146">
        <f>N77-SUM(G71:G76)</f>
        <v>0</v>
      </c>
      <c r="H70" s="76"/>
      <c r="I70" s="76"/>
      <c r="J70" s="76"/>
      <c r="K70" s="76"/>
      <c r="L70" s="76"/>
      <c r="M70" s="77"/>
      <c r="S70">
        <f>SUM(S71:S76)</f>
        <v>0</v>
      </c>
      <c r="T70" s="75"/>
      <c r="U70" s="76"/>
      <c r="V70" s="76"/>
      <c r="W70" s="77"/>
      <c r="Y70" s="147"/>
      <c r="Z70" s="147"/>
      <c r="AA70" s="147"/>
      <c r="AB70" s="147"/>
      <c r="AC70" s="147"/>
      <c r="AD70" s="147"/>
      <c r="AE70" s="147"/>
      <c r="AF70" s="147"/>
      <c r="AG70" s="147"/>
      <c r="AH70" s="147"/>
      <c r="AI70" s="147"/>
      <c r="AJ70" s="147"/>
      <c r="AK70" s="147"/>
      <c r="AL70" s="147"/>
    </row>
    <row r="71" spans="1:38" x14ac:dyDescent="0.3">
      <c r="A71" s="195"/>
      <c r="C71" s="198"/>
      <c r="D71" s="199"/>
      <c r="E71" s="35" t="str">
        <f>_xlfn.IFNA(VLOOKUP(C71,'Te gebruiken meststoffen'!$R$3:$AC$10,12,FALSE),"")</f>
        <v/>
      </c>
      <c r="F71" s="50">
        <f t="shared" ref="F71:F76" si="49">D71*(IFERROR(VLOOKUP(C71,$C$45:$Q$58,3,FALSE),0))</f>
        <v>0</v>
      </c>
      <c r="G71" s="50">
        <f>O71</f>
        <v>0</v>
      </c>
      <c r="H71" s="50">
        <f t="shared" ref="H71:H76" si="50">D71*(IFERROR(VLOOKUP(C71,$C$45:$Q$58,5,FALSE),0))</f>
        <v>0</v>
      </c>
      <c r="I71" s="50">
        <f t="shared" ref="I71:I76" si="51">D71*(IFERROR(VLOOKUP(C71,$C$45:$Q$58,6,FALSE),0))</f>
        <v>0</v>
      </c>
      <c r="J71" s="50">
        <f t="shared" ref="J71:J76" si="52">D71*(IFERROR(VLOOKUP(C71,$C$45:$Q$58,7,FALSE),0))</f>
        <v>0</v>
      </c>
      <c r="K71" s="50">
        <f t="shared" ref="K71:K76" si="53">D71*(IFERROR(VLOOKUP(C71,$C$45:$Q$58,8,FALSE),0))</f>
        <v>0</v>
      </c>
      <c r="L71" s="50">
        <f t="shared" ref="L71:L76" si="54">D71*(IFERROR(VLOOKUP(C71,$C$45:$Q$58,9,FALSE),0))</f>
        <v>0</v>
      </c>
      <c r="M71" s="51">
        <f t="shared" ref="M71:M76" si="55">D71*(IFERROR(VLOOKUP(C71,$C$45:$Q$58,10,FALSE),0))</f>
        <v>0</v>
      </c>
      <c r="N71">
        <f>O71+P63</f>
        <v>0</v>
      </c>
      <c r="O71">
        <f t="shared" ref="O71:O76" si="56">D71*(IFERROR(VLOOKUP(C71,$C$45:$Q$58,12,FALSE),0))</f>
        <v>0</v>
      </c>
      <c r="P71">
        <f t="shared" ref="P71:P76" si="57">D71*(IFERROR(VLOOKUP(C71,$C$45:$Q$58,13,FALSE),0))</f>
        <v>0</v>
      </c>
      <c r="Q71">
        <f t="shared" ref="Q71:Q76" si="58">D71*(IFERROR(VLOOKUP(C71,$C$45:$Q$58,14,FALSE),0))</f>
        <v>0</v>
      </c>
      <c r="R71">
        <f t="shared" ref="R71:R76" si="59">D71*(IFERROR(VLOOKUP(C71,$C$45:$Q$58,15,FALSE),0))</f>
        <v>0</v>
      </c>
      <c r="S71">
        <f t="shared" ref="S71:S76" si="60">IF(F71&gt;0,F71,G71)</f>
        <v>0</v>
      </c>
      <c r="T71" s="34" t="str">
        <f>IF(D71="","",D71*$D$9)</f>
        <v/>
      </c>
      <c r="U71" s="35" t="str">
        <f>IF(D71="","",E71)</f>
        <v/>
      </c>
      <c r="V71" s="35" t="str">
        <f>IF(D71="","",D71*(VLOOKUP(C71,$C$45:$M$58,11,FALSE)))</f>
        <v/>
      </c>
      <c r="W71" s="36" t="str">
        <f>IF(T71="","",T71*(VLOOKUP(C71,$C$45:$M$58,11,FALSE)))</f>
        <v/>
      </c>
      <c r="Y71" s="147" t="str">
        <f t="shared" si="32"/>
        <v/>
      </c>
      <c r="Z71" s="147" t="str">
        <f t="shared" si="33"/>
        <v/>
      </c>
      <c r="AA71" s="147" t="str">
        <f t="shared" si="34"/>
        <v/>
      </c>
      <c r="AB71" s="147" t="str">
        <f t="shared" si="35"/>
        <v/>
      </c>
      <c r="AC71" s="147" t="str">
        <f t="shared" si="36"/>
        <v/>
      </c>
      <c r="AD71" s="147" t="str">
        <f t="shared" si="37"/>
        <v/>
      </c>
      <c r="AE71" s="147" t="str">
        <f t="shared" si="38"/>
        <v/>
      </c>
      <c r="AF71" s="147" t="str">
        <f t="shared" si="39"/>
        <v/>
      </c>
      <c r="AG71" s="147" t="str">
        <f t="shared" si="40"/>
        <v/>
      </c>
      <c r="AH71" s="147" t="str">
        <f t="shared" si="41"/>
        <v/>
      </c>
      <c r="AI71" s="147" t="str">
        <f t="shared" si="42"/>
        <v/>
      </c>
      <c r="AJ71" s="147" t="str">
        <f t="shared" si="43"/>
        <v/>
      </c>
      <c r="AK71" s="147" t="str">
        <f t="shared" si="44"/>
        <v/>
      </c>
      <c r="AL71" s="147" t="str">
        <f t="shared" si="45"/>
        <v/>
      </c>
    </row>
    <row r="72" spans="1:38" x14ac:dyDescent="0.3">
      <c r="A72" s="196"/>
      <c r="C72" s="200"/>
      <c r="D72" s="201"/>
      <c r="E72" t="str">
        <f>_xlfn.IFNA(VLOOKUP(C72,'Te gebruiken meststoffen'!$R$3:$AC$10,12,FALSE),"")</f>
        <v/>
      </c>
      <c r="F72" s="52">
        <f t="shared" si="49"/>
        <v>0</v>
      </c>
      <c r="G72" s="52">
        <f t="shared" ref="G72:G76" si="61">O72</f>
        <v>0</v>
      </c>
      <c r="H72" s="52">
        <f t="shared" si="50"/>
        <v>0</v>
      </c>
      <c r="I72" s="52">
        <f t="shared" si="51"/>
        <v>0</v>
      </c>
      <c r="J72" s="52">
        <f t="shared" si="52"/>
        <v>0</v>
      </c>
      <c r="K72" s="52">
        <f t="shared" si="53"/>
        <v>0</v>
      </c>
      <c r="L72" s="52">
        <f t="shared" si="54"/>
        <v>0</v>
      </c>
      <c r="M72" s="53">
        <f t="shared" si="55"/>
        <v>0</v>
      </c>
      <c r="N72">
        <f t="shared" ref="N72:N76" si="62">O72+P64</f>
        <v>0</v>
      </c>
      <c r="O72">
        <f t="shared" si="56"/>
        <v>0</v>
      </c>
      <c r="P72">
        <f t="shared" si="57"/>
        <v>0</v>
      </c>
      <c r="Q72">
        <f t="shared" si="58"/>
        <v>0</v>
      </c>
      <c r="R72">
        <f t="shared" si="59"/>
        <v>0</v>
      </c>
      <c r="S72">
        <f t="shared" si="60"/>
        <v>0</v>
      </c>
      <c r="T72" s="40" t="str">
        <f t="shared" ref="T72:T76" si="63">IF(D72="","",D72*$D$9)</f>
        <v/>
      </c>
      <c r="U72" t="str">
        <f t="shared" ref="U72:U76" si="64">IF(D72="","",E72)</f>
        <v/>
      </c>
      <c r="V72" t="str">
        <f t="shared" ref="V72:V76" si="65">IF(D72="","",D72*(VLOOKUP(C72,$C$45:$M$58,11,FALSE)))</f>
        <v/>
      </c>
      <c r="W72" s="43" t="str">
        <f t="shared" ref="W72:W76" si="66">IF(T72="","",T72*(VLOOKUP(C72,$C$45:$M$58,11,FALSE)))</f>
        <v/>
      </c>
      <c r="Y72" s="147" t="str">
        <f t="shared" si="32"/>
        <v/>
      </c>
      <c r="Z72" s="147" t="str">
        <f t="shared" si="33"/>
        <v/>
      </c>
      <c r="AA72" s="147" t="str">
        <f t="shared" si="34"/>
        <v/>
      </c>
      <c r="AB72" s="147" t="str">
        <f t="shared" si="35"/>
        <v/>
      </c>
      <c r="AC72" s="147" t="str">
        <f t="shared" si="36"/>
        <v/>
      </c>
      <c r="AD72" s="147" t="str">
        <f t="shared" si="37"/>
        <v/>
      </c>
      <c r="AE72" s="147" t="str">
        <f t="shared" si="38"/>
        <v/>
      </c>
      <c r="AF72" s="147" t="str">
        <f t="shared" si="39"/>
        <v/>
      </c>
      <c r="AG72" s="147" t="str">
        <f t="shared" si="40"/>
        <v/>
      </c>
      <c r="AH72" s="147" t="str">
        <f t="shared" si="41"/>
        <v/>
      </c>
      <c r="AI72" s="147" t="str">
        <f t="shared" si="42"/>
        <v/>
      </c>
      <c r="AJ72" s="147" t="str">
        <f t="shared" si="43"/>
        <v/>
      </c>
      <c r="AK72" s="147" t="str">
        <f t="shared" si="44"/>
        <v/>
      </c>
      <c r="AL72" s="147" t="str">
        <f t="shared" si="45"/>
        <v/>
      </c>
    </row>
    <row r="73" spans="1:38" x14ac:dyDescent="0.3">
      <c r="A73" s="196"/>
      <c r="C73" s="200"/>
      <c r="D73" s="201"/>
      <c r="E73" t="str">
        <f>_xlfn.IFNA(VLOOKUP(C73,'Te gebruiken meststoffen'!$R$3:$AC$10,12,FALSE),"")</f>
        <v/>
      </c>
      <c r="F73" s="52">
        <f t="shared" si="49"/>
        <v>0</v>
      </c>
      <c r="G73" s="52">
        <f t="shared" si="61"/>
        <v>0</v>
      </c>
      <c r="H73" s="52">
        <f t="shared" si="50"/>
        <v>0</v>
      </c>
      <c r="I73" s="52">
        <f t="shared" si="51"/>
        <v>0</v>
      </c>
      <c r="J73" s="52">
        <f t="shared" si="52"/>
        <v>0</v>
      </c>
      <c r="K73" s="52">
        <f t="shared" si="53"/>
        <v>0</v>
      </c>
      <c r="L73" s="52">
        <f t="shared" si="54"/>
        <v>0</v>
      </c>
      <c r="M73" s="53">
        <f t="shared" si="55"/>
        <v>0</v>
      </c>
      <c r="N73">
        <f t="shared" si="62"/>
        <v>0</v>
      </c>
      <c r="O73">
        <f t="shared" si="56"/>
        <v>0</v>
      </c>
      <c r="P73">
        <f t="shared" si="57"/>
        <v>0</v>
      </c>
      <c r="Q73">
        <f t="shared" si="58"/>
        <v>0</v>
      </c>
      <c r="R73">
        <f t="shared" si="59"/>
        <v>0</v>
      </c>
      <c r="S73">
        <f t="shared" si="60"/>
        <v>0</v>
      </c>
      <c r="T73" s="40" t="str">
        <f t="shared" si="63"/>
        <v/>
      </c>
      <c r="U73" t="str">
        <f t="shared" si="64"/>
        <v/>
      </c>
      <c r="V73" t="str">
        <f t="shared" si="65"/>
        <v/>
      </c>
      <c r="W73" s="43" t="str">
        <f t="shared" si="66"/>
        <v/>
      </c>
      <c r="Y73" s="147" t="str">
        <f t="shared" si="32"/>
        <v/>
      </c>
      <c r="Z73" s="147" t="str">
        <f t="shared" si="33"/>
        <v/>
      </c>
      <c r="AA73" s="147" t="str">
        <f t="shared" si="34"/>
        <v/>
      </c>
      <c r="AB73" s="147" t="str">
        <f t="shared" si="35"/>
        <v/>
      </c>
      <c r="AC73" s="147" t="str">
        <f t="shared" si="36"/>
        <v/>
      </c>
      <c r="AD73" s="147" t="str">
        <f t="shared" si="37"/>
        <v/>
      </c>
      <c r="AE73" s="147" t="str">
        <f t="shared" si="38"/>
        <v/>
      </c>
      <c r="AF73" s="147" t="str">
        <f t="shared" si="39"/>
        <v/>
      </c>
      <c r="AG73" s="147" t="str">
        <f t="shared" si="40"/>
        <v/>
      </c>
      <c r="AH73" s="147" t="str">
        <f t="shared" si="41"/>
        <v/>
      </c>
      <c r="AI73" s="147" t="str">
        <f t="shared" si="42"/>
        <v/>
      </c>
      <c r="AJ73" s="147" t="str">
        <f t="shared" si="43"/>
        <v/>
      </c>
      <c r="AK73" s="147" t="str">
        <f t="shared" si="44"/>
        <v/>
      </c>
      <c r="AL73" s="147" t="str">
        <f t="shared" si="45"/>
        <v/>
      </c>
    </row>
    <row r="74" spans="1:38" x14ac:dyDescent="0.3">
      <c r="A74" s="196"/>
      <c r="C74" s="200"/>
      <c r="D74" s="201"/>
      <c r="E74" t="str">
        <f>_xlfn.IFNA(VLOOKUP(C74,'Te gebruiken meststoffen'!$R$3:$AC$10,12,FALSE),"")</f>
        <v/>
      </c>
      <c r="F74" s="52">
        <f t="shared" si="49"/>
        <v>0</v>
      </c>
      <c r="G74" s="52">
        <f t="shared" si="61"/>
        <v>0</v>
      </c>
      <c r="H74" s="52">
        <f t="shared" si="50"/>
        <v>0</v>
      </c>
      <c r="I74" s="52">
        <f t="shared" si="51"/>
        <v>0</v>
      </c>
      <c r="J74" s="52">
        <f t="shared" si="52"/>
        <v>0</v>
      </c>
      <c r="K74" s="52">
        <f t="shared" si="53"/>
        <v>0</v>
      </c>
      <c r="L74" s="52">
        <f t="shared" si="54"/>
        <v>0</v>
      </c>
      <c r="M74" s="53">
        <f t="shared" si="55"/>
        <v>0</v>
      </c>
      <c r="N74">
        <f t="shared" si="62"/>
        <v>0</v>
      </c>
      <c r="O74">
        <f t="shared" si="56"/>
        <v>0</v>
      </c>
      <c r="P74">
        <f t="shared" si="57"/>
        <v>0</v>
      </c>
      <c r="Q74">
        <f t="shared" si="58"/>
        <v>0</v>
      </c>
      <c r="R74">
        <f t="shared" si="59"/>
        <v>0</v>
      </c>
      <c r="S74">
        <f t="shared" si="60"/>
        <v>0</v>
      </c>
      <c r="T74" s="40" t="str">
        <f t="shared" si="63"/>
        <v/>
      </c>
      <c r="U74" t="str">
        <f t="shared" si="64"/>
        <v/>
      </c>
      <c r="V74" t="str">
        <f t="shared" si="65"/>
        <v/>
      </c>
      <c r="W74" s="43" t="str">
        <f t="shared" si="66"/>
        <v/>
      </c>
      <c r="Y74" s="147" t="str">
        <f t="shared" si="32"/>
        <v/>
      </c>
      <c r="Z74" s="147" t="str">
        <f t="shared" si="33"/>
        <v/>
      </c>
      <c r="AA74" s="147" t="str">
        <f t="shared" si="34"/>
        <v/>
      </c>
      <c r="AB74" s="147" t="str">
        <f t="shared" si="35"/>
        <v/>
      </c>
      <c r="AC74" s="147" t="str">
        <f t="shared" si="36"/>
        <v/>
      </c>
      <c r="AD74" s="147" t="str">
        <f t="shared" si="37"/>
        <v/>
      </c>
      <c r="AE74" s="147" t="str">
        <f t="shared" si="38"/>
        <v/>
      </c>
      <c r="AF74" s="147" t="str">
        <f t="shared" si="39"/>
        <v/>
      </c>
      <c r="AG74" s="147" t="str">
        <f t="shared" si="40"/>
        <v/>
      </c>
      <c r="AH74" s="147" t="str">
        <f t="shared" si="41"/>
        <v/>
      </c>
      <c r="AI74" s="147" t="str">
        <f t="shared" si="42"/>
        <v/>
      </c>
      <c r="AJ74" s="147" t="str">
        <f t="shared" si="43"/>
        <v/>
      </c>
      <c r="AK74" s="147" t="str">
        <f t="shared" si="44"/>
        <v/>
      </c>
      <c r="AL74" s="147" t="str">
        <f t="shared" si="45"/>
        <v/>
      </c>
    </row>
    <row r="75" spans="1:38" x14ac:dyDescent="0.3">
      <c r="A75" s="196"/>
      <c r="C75" s="200"/>
      <c r="D75" s="201"/>
      <c r="E75" t="str">
        <f>_xlfn.IFNA(VLOOKUP(C75,'Te gebruiken meststoffen'!$R$3:$AC$10,12,FALSE),"")</f>
        <v/>
      </c>
      <c r="F75" s="52">
        <f t="shared" si="49"/>
        <v>0</v>
      </c>
      <c r="G75" s="52">
        <f t="shared" si="61"/>
        <v>0</v>
      </c>
      <c r="H75" s="52">
        <f t="shared" si="50"/>
        <v>0</v>
      </c>
      <c r="I75" s="52">
        <f t="shared" si="51"/>
        <v>0</v>
      </c>
      <c r="J75" s="52">
        <f t="shared" si="52"/>
        <v>0</v>
      </c>
      <c r="K75" s="52">
        <f t="shared" si="53"/>
        <v>0</v>
      </c>
      <c r="L75" s="52">
        <f t="shared" si="54"/>
        <v>0</v>
      </c>
      <c r="M75" s="53">
        <f t="shared" si="55"/>
        <v>0</v>
      </c>
      <c r="N75">
        <f t="shared" si="62"/>
        <v>0</v>
      </c>
      <c r="O75">
        <f t="shared" si="56"/>
        <v>0</v>
      </c>
      <c r="P75">
        <f t="shared" si="57"/>
        <v>0</v>
      </c>
      <c r="Q75">
        <f t="shared" si="58"/>
        <v>0</v>
      </c>
      <c r="R75">
        <f t="shared" si="59"/>
        <v>0</v>
      </c>
      <c r="S75">
        <f t="shared" si="60"/>
        <v>0</v>
      </c>
      <c r="T75" s="40" t="str">
        <f t="shared" si="63"/>
        <v/>
      </c>
      <c r="U75" t="str">
        <f t="shared" si="64"/>
        <v/>
      </c>
      <c r="V75" t="str">
        <f t="shared" si="65"/>
        <v/>
      </c>
      <c r="W75" s="43" t="str">
        <f t="shared" si="66"/>
        <v/>
      </c>
      <c r="Y75" s="147" t="str">
        <f t="shared" si="32"/>
        <v/>
      </c>
      <c r="Z75" s="147" t="str">
        <f t="shared" si="33"/>
        <v/>
      </c>
      <c r="AA75" s="147" t="str">
        <f t="shared" si="34"/>
        <v/>
      </c>
      <c r="AB75" s="147" t="str">
        <f t="shared" si="35"/>
        <v/>
      </c>
      <c r="AC75" s="147" t="str">
        <f t="shared" si="36"/>
        <v/>
      </c>
      <c r="AD75" s="147" t="str">
        <f t="shared" si="37"/>
        <v/>
      </c>
      <c r="AE75" s="147" t="str">
        <f t="shared" si="38"/>
        <v/>
      </c>
      <c r="AF75" s="147" t="str">
        <f t="shared" si="39"/>
        <v/>
      </c>
      <c r="AG75" s="147" t="str">
        <f t="shared" si="40"/>
        <v/>
      </c>
      <c r="AH75" s="147" t="str">
        <f t="shared" si="41"/>
        <v/>
      </c>
      <c r="AI75" s="147" t="str">
        <f t="shared" si="42"/>
        <v/>
      </c>
      <c r="AJ75" s="147" t="str">
        <f t="shared" si="43"/>
        <v/>
      </c>
      <c r="AK75" s="147" t="str">
        <f t="shared" si="44"/>
        <v/>
      </c>
      <c r="AL75" s="147" t="str">
        <f t="shared" si="45"/>
        <v/>
      </c>
    </row>
    <row r="76" spans="1:38" ht="15" thickBot="1" x14ac:dyDescent="0.35">
      <c r="A76" s="197"/>
      <c r="C76" s="200"/>
      <c r="D76" s="201"/>
      <c r="E76" t="str">
        <f>_xlfn.IFNA(VLOOKUP(C76,'Te gebruiken meststoffen'!$R$3:$AC$10,12,FALSE),"")</f>
        <v/>
      </c>
      <c r="F76" s="52">
        <f t="shared" si="49"/>
        <v>0</v>
      </c>
      <c r="G76" s="52">
        <f t="shared" si="61"/>
        <v>0</v>
      </c>
      <c r="H76" s="52">
        <f t="shared" si="50"/>
        <v>0</v>
      </c>
      <c r="I76" s="52">
        <f t="shared" si="51"/>
        <v>0</v>
      </c>
      <c r="J76" s="52">
        <f t="shared" si="52"/>
        <v>0</v>
      </c>
      <c r="K76" s="52">
        <f t="shared" si="53"/>
        <v>0</v>
      </c>
      <c r="L76" s="52">
        <f t="shared" si="54"/>
        <v>0</v>
      </c>
      <c r="M76" s="53">
        <f t="shared" si="55"/>
        <v>0</v>
      </c>
      <c r="N76">
        <f t="shared" si="62"/>
        <v>0</v>
      </c>
      <c r="O76">
        <f t="shared" si="56"/>
        <v>0</v>
      </c>
      <c r="P76">
        <f t="shared" si="57"/>
        <v>0</v>
      </c>
      <c r="Q76">
        <f t="shared" si="58"/>
        <v>0</v>
      </c>
      <c r="R76">
        <f t="shared" si="59"/>
        <v>0</v>
      </c>
      <c r="S76">
        <f t="shared" si="60"/>
        <v>0</v>
      </c>
      <c r="T76" s="134" t="str">
        <f t="shared" si="63"/>
        <v/>
      </c>
      <c r="U76" s="131" t="str">
        <f t="shared" si="64"/>
        <v/>
      </c>
      <c r="V76" s="131" t="str">
        <f t="shared" si="65"/>
        <v/>
      </c>
      <c r="W76" s="135" t="str">
        <f t="shared" si="66"/>
        <v/>
      </c>
      <c r="Y76" s="147" t="str">
        <f t="shared" si="32"/>
        <v/>
      </c>
      <c r="Z76" s="147" t="str">
        <f t="shared" si="33"/>
        <v/>
      </c>
      <c r="AA76" s="147" t="str">
        <f t="shared" si="34"/>
        <v/>
      </c>
      <c r="AB76" s="147" t="str">
        <f t="shared" si="35"/>
        <v/>
      </c>
      <c r="AC76" s="147" t="str">
        <f t="shared" si="36"/>
        <v/>
      </c>
      <c r="AD76" s="147" t="str">
        <f t="shared" si="37"/>
        <v/>
      </c>
      <c r="AE76" s="147" t="str">
        <f t="shared" si="38"/>
        <v/>
      </c>
      <c r="AF76" s="147" t="str">
        <f t="shared" si="39"/>
        <v/>
      </c>
      <c r="AG76" s="147" t="str">
        <f t="shared" si="40"/>
        <v/>
      </c>
      <c r="AH76" s="147" t="str">
        <f t="shared" si="41"/>
        <v/>
      </c>
      <c r="AI76" s="147" t="str">
        <f t="shared" si="42"/>
        <v/>
      </c>
      <c r="AJ76" s="147" t="str">
        <f t="shared" si="43"/>
        <v/>
      </c>
      <c r="AK76" s="147" t="str">
        <f t="shared" si="44"/>
        <v/>
      </c>
      <c r="AL76" s="147" t="str">
        <f t="shared" si="45"/>
        <v/>
      </c>
    </row>
    <row r="77" spans="1:38" ht="15" thickBot="1" x14ac:dyDescent="0.35">
      <c r="C77" s="75"/>
      <c r="D77" s="76"/>
      <c r="E77" s="56" t="s">
        <v>505</v>
      </c>
      <c r="F77" s="79">
        <f t="shared" ref="F77:M77" si="67">SUM(F71:F76)</f>
        <v>0</v>
      </c>
      <c r="G77" s="79">
        <f>SUM(G70:G76)</f>
        <v>0</v>
      </c>
      <c r="H77" s="79">
        <f t="shared" si="67"/>
        <v>0</v>
      </c>
      <c r="I77" s="79">
        <f t="shared" si="67"/>
        <v>0</v>
      </c>
      <c r="J77" s="79">
        <f t="shared" si="67"/>
        <v>0</v>
      </c>
      <c r="K77" s="79">
        <f t="shared" si="67"/>
        <v>0</v>
      </c>
      <c r="L77" s="79">
        <f t="shared" si="67"/>
        <v>0</v>
      </c>
      <c r="M77" s="112">
        <f t="shared" si="67"/>
        <v>0</v>
      </c>
      <c r="N77" s="60">
        <f>SUM(P63:P68,O71:O76)</f>
        <v>0</v>
      </c>
      <c r="T77" s="138"/>
      <c r="U77" s="139"/>
      <c r="V77" s="139">
        <f>SUM(V71:V76)</f>
        <v>0</v>
      </c>
      <c r="W77" s="140">
        <f>SUM(W71:W76)</f>
        <v>0</v>
      </c>
      <c r="Y77" s="147"/>
      <c r="Z77" s="147"/>
      <c r="AA77" s="147"/>
      <c r="AB77" s="147"/>
      <c r="AC77" s="147"/>
      <c r="AD77" s="147"/>
      <c r="AE77" s="147"/>
      <c r="AF77" s="147"/>
      <c r="AG77" s="147"/>
      <c r="AH77" s="147"/>
      <c r="AI77" s="147"/>
      <c r="AJ77" s="147"/>
      <c r="AK77" s="147"/>
      <c r="AL77" s="147"/>
    </row>
    <row r="78" spans="1:38" ht="15" thickBot="1" x14ac:dyDescent="0.35">
      <c r="A78" s="128" t="s">
        <v>611</v>
      </c>
      <c r="C78" s="128" t="s">
        <v>500</v>
      </c>
      <c r="D78" s="76" t="s">
        <v>620</v>
      </c>
      <c r="E78" s="76"/>
      <c r="F78" s="76"/>
      <c r="G78" s="146">
        <f>N85-SUM(G79:G84)</f>
        <v>0</v>
      </c>
      <c r="H78" s="76"/>
      <c r="I78" s="76"/>
      <c r="J78" s="76"/>
      <c r="K78" s="76"/>
      <c r="L78" s="76"/>
      <c r="M78" s="77"/>
      <c r="S78">
        <f>SUM(S79:S84)</f>
        <v>0</v>
      </c>
      <c r="T78" s="75"/>
      <c r="U78" s="76"/>
      <c r="V78" s="76"/>
      <c r="W78" s="77"/>
      <c r="Y78" s="147"/>
      <c r="Z78" s="147"/>
      <c r="AA78" s="147"/>
      <c r="AB78" s="147"/>
      <c r="AC78" s="147"/>
      <c r="AD78" s="147"/>
      <c r="AE78" s="147"/>
      <c r="AF78" s="147"/>
      <c r="AG78" s="147"/>
      <c r="AH78" s="147"/>
      <c r="AI78" s="147"/>
      <c r="AJ78" s="147"/>
      <c r="AK78" s="147"/>
      <c r="AL78" s="147"/>
    </row>
    <row r="79" spans="1:38" x14ac:dyDescent="0.3">
      <c r="A79" s="195"/>
      <c r="C79" s="198"/>
      <c r="D79" s="199"/>
      <c r="E79" s="35" t="str">
        <f>_xlfn.IFNA(VLOOKUP(C79,'Te gebruiken meststoffen'!$R$3:$AC$10,12,FALSE),"")</f>
        <v/>
      </c>
      <c r="F79" s="50">
        <f t="shared" ref="F79:F84" si="68">D79*(IFERROR(VLOOKUP(C79,$C$45:$Q$58,3,FALSE),0))</f>
        <v>0</v>
      </c>
      <c r="G79" s="50">
        <f>O79</f>
        <v>0</v>
      </c>
      <c r="H79" s="50">
        <f t="shared" ref="H79:H84" si="69">D79*(IFERROR(VLOOKUP(C79,$C$45:$Q$58,5,FALSE),0))</f>
        <v>0</v>
      </c>
      <c r="I79" s="50">
        <f t="shared" ref="I79:I84" si="70">D79*(IFERROR(VLOOKUP(C79,$C$45:$Q$58,6,FALSE),0))</f>
        <v>0</v>
      </c>
      <c r="J79" s="50">
        <f t="shared" ref="J79:J84" si="71">D79*(IFERROR(VLOOKUP(C79,$C$45:$Q$58,7,FALSE),0))</f>
        <v>0</v>
      </c>
      <c r="K79" s="50">
        <f t="shared" ref="K79:K84" si="72">D79*(IFERROR(VLOOKUP(C79,$C$45:$Q$58,8,FALSE),0))</f>
        <v>0</v>
      </c>
      <c r="L79" s="50">
        <f t="shared" ref="L79:L84" si="73">D79*(IFERROR(VLOOKUP(C79,$C$45:$Q$58,9,FALSE),0))</f>
        <v>0</v>
      </c>
      <c r="M79" s="51">
        <f t="shared" ref="M79:M84" si="74">D79*(IFERROR(VLOOKUP(C79,$C$45:$Q$58,10,FALSE),0))</f>
        <v>0</v>
      </c>
      <c r="N79">
        <f t="shared" ref="N79:N84" si="75">O79+P71+Q63</f>
        <v>0</v>
      </c>
      <c r="O79">
        <f t="shared" ref="O79:O84" si="76">D79*(IFERROR(VLOOKUP(C79,$C$45:$Q$58,12,FALSE),0))</f>
        <v>0</v>
      </c>
      <c r="P79">
        <f t="shared" ref="P79:P84" si="77">D79*(IFERROR(VLOOKUP(C79,$C$45:$Q$58,13,FALSE),0))</f>
        <v>0</v>
      </c>
      <c r="Q79">
        <f t="shared" ref="Q79:Q84" si="78">D79*(IFERROR(VLOOKUP(C79,$C$45:$Q$58,14,FALSE),0))</f>
        <v>0</v>
      </c>
      <c r="R79">
        <f t="shared" ref="R79:R84" si="79">D79*(IFERROR(VLOOKUP(C79,$C$45:$Q$58,15,FALSE),0))</f>
        <v>0</v>
      </c>
      <c r="S79">
        <f t="shared" ref="S79:S84" si="80">IF(F79&gt;0,F79,G79)</f>
        <v>0</v>
      </c>
      <c r="T79" s="34" t="str">
        <f>IF(D79="","",D79*$D$9)</f>
        <v/>
      </c>
      <c r="U79" s="35" t="str">
        <f>IF(D79="","",E79)</f>
        <v/>
      </c>
      <c r="V79" s="35" t="str">
        <f>IF(D79="","",D79*(VLOOKUP(C79,$C$45:$M$58,11,FALSE)))</f>
        <v/>
      </c>
      <c r="W79" s="36" t="str">
        <f>IF(T79="","",T79*(VLOOKUP(C79,$C$45:$M$58,11,FALSE)))</f>
        <v/>
      </c>
      <c r="Y79" s="147" t="str">
        <f t="shared" si="32"/>
        <v/>
      </c>
      <c r="Z79" s="147" t="str">
        <f t="shared" si="33"/>
        <v/>
      </c>
      <c r="AA79" s="147" t="str">
        <f t="shared" si="34"/>
        <v/>
      </c>
      <c r="AB79" s="147" t="str">
        <f t="shared" si="35"/>
        <v/>
      </c>
      <c r="AC79" s="147" t="str">
        <f t="shared" si="36"/>
        <v/>
      </c>
      <c r="AD79" s="147" t="str">
        <f t="shared" si="37"/>
        <v/>
      </c>
      <c r="AE79" s="147" t="str">
        <f t="shared" si="38"/>
        <v/>
      </c>
      <c r="AF79" s="147" t="str">
        <f t="shared" si="39"/>
        <v/>
      </c>
      <c r="AG79" s="147" t="str">
        <f t="shared" si="40"/>
        <v/>
      </c>
      <c r="AH79" s="147" t="str">
        <f t="shared" si="41"/>
        <v/>
      </c>
      <c r="AI79" s="147" t="str">
        <f t="shared" si="42"/>
        <v/>
      </c>
      <c r="AJ79" s="147" t="str">
        <f t="shared" si="43"/>
        <v/>
      </c>
      <c r="AK79" s="147" t="str">
        <f t="shared" si="44"/>
        <v/>
      </c>
      <c r="AL79" s="147" t="str">
        <f t="shared" si="45"/>
        <v/>
      </c>
    </row>
    <row r="80" spans="1:38" x14ac:dyDescent="0.3">
      <c r="A80" s="196"/>
      <c r="C80" s="200"/>
      <c r="D80" s="201"/>
      <c r="E80" t="str">
        <f>_xlfn.IFNA(VLOOKUP(C80,'Te gebruiken meststoffen'!$R$3:$AC$10,12,FALSE),"")</f>
        <v/>
      </c>
      <c r="F80" s="52">
        <f t="shared" si="68"/>
        <v>0</v>
      </c>
      <c r="G80" s="52">
        <f t="shared" ref="G80:G84" si="81">O80</f>
        <v>0</v>
      </c>
      <c r="H80" s="52">
        <f t="shared" si="69"/>
        <v>0</v>
      </c>
      <c r="I80" s="52">
        <f t="shared" si="70"/>
        <v>0</v>
      </c>
      <c r="J80" s="52">
        <f t="shared" si="71"/>
        <v>0</v>
      </c>
      <c r="K80" s="52">
        <f t="shared" si="72"/>
        <v>0</v>
      </c>
      <c r="L80" s="52">
        <f t="shared" si="73"/>
        <v>0</v>
      </c>
      <c r="M80" s="53">
        <f t="shared" si="74"/>
        <v>0</v>
      </c>
      <c r="N80">
        <f t="shared" si="75"/>
        <v>0</v>
      </c>
      <c r="O80">
        <f t="shared" si="76"/>
        <v>0</v>
      </c>
      <c r="P80">
        <f t="shared" si="77"/>
        <v>0</v>
      </c>
      <c r="Q80">
        <f t="shared" si="78"/>
        <v>0</v>
      </c>
      <c r="R80">
        <f t="shared" si="79"/>
        <v>0</v>
      </c>
      <c r="S80">
        <f t="shared" si="80"/>
        <v>0</v>
      </c>
      <c r="T80" s="40" t="str">
        <f t="shared" ref="T80:T84" si="82">IF(D80="","",D80*$D$9)</f>
        <v/>
      </c>
      <c r="U80" t="str">
        <f t="shared" ref="U80:U84" si="83">IF(D80="","",E80)</f>
        <v/>
      </c>
      <c r="V80" t="str">
        <f t="shared" ref="V80:V84" si="84">IF(D80="","",D80*(VLOOKUP(C80,$C$45:$M$58,11,FALSE)))</f>
        <v/>
      </c>
      <c r="W80" s="43" t="str">
        <f t="shared" ref="W80:W84" si="85">IF(T80="","",T80*(VLOOKUP(C80,$C$45:$M$58,11,FALSE)))</f>
        <v/>
      </c>
      <c r="Y80" s="147" t="str">
        <f t="shared" si="32"/>
        <v/>
      </c>
      <c r="Z80" s="147" t="str">
        <f t="shared" si="33"/>
        <v/>
      </c>
      <c r="AA80" s="147" t="str">
        <f t="shared" si="34"/>
        <v/>
      </c>
      <c r="AB80" s="147" t="str">
        <f t="shared" si="35"/>
        <v/>
      </c>
      <c r="AC80" s="147" t="str">
        <f t="shared" si="36"/>
        <v/>
      </c>
      <c r="AD80" s="147" t="str">
        <f t="shared" si="37"/>
        <v/>
      </c>
      <c r="AE80" s="147" t="str">
        <f t="shared" si="38"/>
        <v/>
      </c>
      <c r="AF80" s="147" t="str">
        <f t="shared" si="39"/>
        <v/>
      </c>
      <c r="AG80" s="147" t="str">
        <f t="shared" si="40"/>
        <v/>
      </c>
      <c r="AH80" s="147" t="str">
        <f t="shared" si="41"/>
        <v/>
      </c>
      <c r="AI80" s="147" t="str">
        <f t="shared" si="42"/>
        <v/>
      </c>
      <c r="AJ80" s="147" t="str">
        <f t="shared" si="43"/>
        <v/>
      </c>
      <c r="AK80" s="147" t="str">
        <f t="shared" si="44"/>
        <v/>
      </c>
      <c r="AL80" s="147" t="str">
        <f t="shared" si="45"/>
        <v/>
      </c>
    </row>
    <row r="81" spans="1:38" x14ac:dyDescent="0.3">
      <c r="A81" s="196"/>
      <c r="C81" s="200"/>
      <c r="D81" s="201"/>
      <c r="E81" t="str">
        <f>_xlfn.IFNA(VLOOKUP(C81,'Te gebruiken meststoffen'!$R$3:$AC$10,12,FALSE),"")</f>
        <v/>
      </c>
      <c r="F81" s="52">
        <f t="shared" si="68"/>
        <v>0</v>
      </c>
      <c r="G81" s="52">
        <f t="shared" si="81"/>
        <v>0</v>
      </c>
      <c r="H81" s="52">
        <f t="shared" si="69"/>
        <v>0</v>
      </c>
      <c r="I81" s="52">
        <f t="shared" si="70"/>
        <v>0</v>
      </c>
      <c r="J81" s="52">
        <f t="shared" si="71"/>
        <v>0</v>
      </c>
      <c r="K81" s="52">
        <f t="shared" si="72"/>
        <v>0</v>
      </c>
      <c r="L81" s="52">
        <f t="shared" si="73"/>
        <v>0</v>
      </c>
      <c r="M81" s="53">
        <f t="shared" si="74"/>
        <v>0</v>
      </c>
      <c r="N81">
        <f t="shared" si="75"/>
        <v>0</v>
      </c>
      <c r="O81">
        <f t="shared" si="76"/>
        <v>0</v>
      </c>
      <c r="P81">
        <f t="shared" si="77"/>
        <v>0</v>
      </c>
      <c r="Q81">
        <f t="shared" si="78"/>
        <v>0</v>
      </c>
      <c r="R81">
        <f t="shared" si="79"/>
        <v>0</v>
      </c>
      <c r="S81">
        <f t="shared" si="80"/>
        <v>0</v>
      </c>
      <c r="T81" s="40" t="str">
        <f t="shared" si="82"/>
        <v/>
      </c>
      <c r="U81" t="str">
        <f t="shared" si="83"/>
        <v/>
      </c>
      <c r="V81" t="str">
        <f t="shared" si="84"/>
        <v/>
      </c>
      <c r="W81" s="43" t="str">
        <f t="shared" si="85"/>
        <v/>
      </c>
      <c r="Y81" s="147" t="str">
        <f t="shared" si="32"/>
        <v/>
      </c>
      <c r="Z81" s="147" t="str">
        <f t="shared" si="33"/>
        <v/>
      </c>
      <c r="AA81" s="147" t="str">
        <f t="shared" si="34"/>
        <v/>
      </c>
      <c r="AB81" s="147" t="str">
        <f t="shared" si="35"/>
        <v/>
      </c>
      <c r="AC81" s="147" t="str">
        <f t="shared" si="36"/>
        <v/>
      </c>
      <c r="AD81" s="147" t="str">
        <f t="shared" si="37"/>
        <v/>
      </c>
      <c r="AE81" s="147" t="str">
        <f t="shared" si="38"/>
        <v/>
      </c>
      <c r="AF81" s="147" t="str">
        <f t="shared" si="39"/>
        <v/>
      </c>
      <c r="AG81" s="147" t="str">
        <f t="shared" si="40"/>
        <v/>
      </c>
      <c r="AH81" s="147" t="str">
        <f t="shared" si="41"/>
        <v/>
      </c>
      <c r="AI81" s="147" t="str">
        <f t="shared" si="42"/>
        <v/>
      </c>
      <c r="AJ81" s="147" t="str">
        <f t="shared" si="43"/>
        <v/>
      </c>
      <c r="AK81" s="147" t="str">
        <f t="shared" si="44"/>
        <v/>
      </c>
      <c r="AL81" s="147" t="str">
        <f t="shared" si="45"/>
        <v/>
      </c>
    </row>
    <row r="82" spans="1:38" x14ac:dyDescent="0.3">
      <c r="A82" s="196"/>
      <c r="C82" s="200"/>
      <c r="D82" s="201"/>
      <c r="E82" t="str">
        <f>_xlfn.IFNA(VLOOKUP(C82,'Te gebruiken meststoffen'!$R$3:$AC$10,12,FALSE),"")</f>
        <v/>
      </c>
      <c r="F82" s="52">
        <f t="shared" si="68"/>
        <v>0</v>
      </c>
      <c r="G82" s="52">
        <f t="shared" si="81"/>
        <v>0</v>
      </c>
      <c r="H82" s="52">
        <f t="shared" si="69"/>
        <v>0</v>
      </c>
      <c r="I82" s="52">
        <f t="shared" si="70"/>
        <v>0</v>
      </c>
      <c r="J82" s="52">
        <f t="shared" si="71"/>
        <v>0</v>
      </c>
      <c r="K82" s="52">
        <f t="shared" si="72"/>
        <v>0</v>
      </c>
      <c r="L82" s="52">
        <f t="shared" si="73"/>
        <v>0</v>
      </c>
      <c r="M82" s="53">
        <f t="shared" si="74"/>
        <v>0</v>
      </c>
      <c r="N82">
        <f t="shared" si="75"/>
        <v>0</v>
      </c>
      <c r="O82">
        <f t="shared" si="76"/>
        <v>0</v>
      </c>
      <c r="P82">
        <f t="shared" si="77"/>
        <v>0</v>
      </c>
      <c r="Q82">
        <f t="shared" si="78"/>
        <v>0</v>
      </c>
      <c r="R82">
        <f t="shared" si="79"/>
        <v>0</v>
      </c>
      <c r="S82">
        <f t="shared" si="80"/>
        <v>0</v>
      </c>
      <c r="T82" s="40" t="str">
        <f t="shared" si="82"/>
        <v/>
      </c>
      <c r="U82" t="str">
        <f t="shared" si="83"/>
        <v/>
      </c>
      <c r="V82" t="str">
        <f t="shared" si="84"/>
        <v/>
      </c>
      <c r="W82" s="43" t="str">
        <f t="shared" si="85"/>
        <v/>
      </c>
      <c r="Y82" s="147" t="str">
        <f t="shared" si="32"/>
        <v/>
      </c>
      <c r="Z82" s="147" t="str">
        <f t="shared" si="33"/>
        <v/>
      </c>
      <c r="AA82" s="147" t="str">
        <f t="shared" si="34"/>
        <v/>
      </c>
      <c r="AB82" s="147" t="str">
        <f t="shared" si="35"/>
        <v/>
      </c>
      <c r="AC82" s="147" t="str">
        <f t="shared" si="36"/>
        <v/>
      </c>
      <c r="AD82" s="147" t="str">
        <f t="shared" si="37"/>
        <v/>
      </c>
      <c r="AE82" s="147" t="str">
        <f t="shared" si="38"/>
        <v/>
      </c>
      <c r="AF82" s="147" t="str">
        <f t="shared" si="39"/>
        <v/>
      </c>
      <c r="AG82" s="147" t="str">
        <f t="shared" si="40"/>
        <v/>
      </c>
      <c r="AH82" s="147" t="str">
        <f t="shared" si="41"/>
        <v/>
      </c>
      <c r="AI82" s="147" t="str">
        <f t="shared" si="42"/>
        <v/>
      </c>
      <c r="AJ82" s="147" t="str">
        <f t="shared" si="43"/>
        <v/>
      </c>
      <c r="AK82" s="147" t="str">
        <f t="shared" si="44"/>
        <v/>
      </c>
      <c r="AL82" s="147" t="str">
        <f t="shared" si="45"/>
        <v/>
      </c>
    </row>
    <row r="83" spans="1:38" x14ac:dyDescent="0.3">
      <c r="A83" s="196"/>
      <c r="C83" s="200"/>
      <c r="D83" s="201"/>
      <c r="E83" t="str">
        <f>_xlfn.IFNA(VLOOKUP(C83,'Te gebruiken meststoffen'!$R$3:$AC$10,12,FALSE),"")</f>
        <v/>
      </c>
      <c r="F83" s="52">
        <f t="shared" si="68"/>
        <v>0</v>
      </c>
      <c r="G83" s="52">
        <f t="shared" si="81"/>
        <v>0</v>
      </c>
      <c r="H83" s="52">
        <f t="shared" si="69"/>
        <v>0</v>
      </c>
      <c r="I83" s="52">
        <f t="shared" si="70"/>
        <v>0</v>
      </c>
      <c r="J83" s="52">
        <f t="shared" si="71"/>
        <v>0</v>
      </c>
      <c r="K83" s="52">
        <f t="shared" si="72"/>
        <v>0</v>
      </c>
      <c r="L83" s="52">
        <f t="shared" si="73"/>
        <v>0</v>
      </c>
      <c r="M83" s="53">
        <f t="shared" si="74"/>
        <v>0</v>
      </c>
      <c r="N83">
        <f t="shared" si="75"/>
        <v>0</v>
      </c>
      <c r="O83">
        <f t="shared" si="76"/>
        <v>0</v>
      </c>
      <c r="P83">
        <f t="shared" si="77"/>
        <v>0</v>
      </c>
      <c r="Q83">
        <f t="shared" si="78"/>
        <v>0</v>
      </c>
      <c r="R83">
        <f t="shared" si="79"/>
        <v>0</v>
      </c>
      <c r="S83">
        <f t="shared" si="80"/>
        <v>0</v>
      </c>
      <c r="T83" s="40" t="str">
        <f t="shared" si="82"/>
        <v/>
      </c>
      <c r="U83" t="str">
        <f t="shared" si="83"/>
        <v/>
      </c>
      <c r="V83" t="str">
        <f t="shared" si="84"/>
        <v/>
      </c>
      <c r="W83" s="43" t="str">
        <f t="shared" si="85"/>
        <v/>
      </c>
      <c r="Y83" s="147" t="str">
        <f t="shared" si="32"/>
        <v/>
      </c>
      <c r="Z83" s="147" t="str">
        <f t="shared" si="33"/>
        <v/>
      </c>
      <c r="AA83" s="147" t="str">
        <f t="shared" si="34"/>
        <v/>
      </c>
      <c r="AB83" s="147" t="str">
        <f t="shared" si="35"/>
        <v/>
      </c>
      <c r="AC83" s="147" t="str">
        <f t="shared" si="36"/>
        <v/>
      </c>
      <c r="AD83" s="147" t="str">
        <f t="shared" si="37"/>
        <v/>
      </c>
      <c r="AE83" s="147" t="str">
        <f t="shared" si="38"/>
        <v/>
      </c>
      <c r="AF83" s="147" t="str">
        <f t="shared" si="39"/>
        <v/>
      </c>
      <c r="AG83" s="147" t="str">
        <f t="shared" si="40"/>
        <v/>
      </c>
      <c r="AH83" s="147" t="str">
        <f t="shared" si="41"/>
        <v/>
      </c>
      <c r="AI83" s="147" t="str">
        <f t="shared" si="42"/>
        <v/>
      </c>
      <c r="AJ83" s="147" t="str">
        <f t="shared" si="43"/>
        <v/>
      </c>
      <c r="AK83" s="147" t="str">
        <f t="shared" si="44"/>
        <v/>
      </c>
      <c r="AL83" s="147" t="str">
        <f t="shared" si="45"/>
        <v/>
      </c>
    </row>
    <row r="84" spans="1:38" ht="15" thickBot="1" x14ac:dyDescent="0.35">
      <c r="A84" s="197"/>
      <c r="C84" s="200"/>
      <c r="D84" s="201"/>
      <c r="E84" t="str">
        <f>_xlfn.IFNA(VLOOKUP(C84,'Te gebruiken meststoffen'!$R$3:$AC$10,12,FALSE),"")</f>
        <v/>
      </c>
      <c r="F84" s="52">
        <f t="shared" si="68"/>
        <v>0</v>
      </c>
      <c r="G84" s="52">
        <f t="shared" si="81"/>
        <v>0</v>
      </c>
      <c r="H84" s="52">
        <f t="shared" si="69"/>
        <v>0</v>
      </c>
      <c r="I84" s="52">
        <f t="shared" si="70"/>
        <v>0</v>
      </c>
      <c r="J84" s="52">
        <f t="shared" si="71"/>
        <v>0</v>
      </c>
      <c r="K84" s="52">
        <f t="shared" si="72"/>
        <v>0</v>
      </c>
      <c r="L84" s="52">
        <f t="shared" si="73"/>
        <v>0</v>
      </c>
      <c r="M84" s="53">
        <f t="shared" si="74"/>
        <v>0</v>
      </c>
      <c r="N84">
        <f t="shared" si="75"/>
        <v>0</v>
      </c>
      <c r="O84">
        <f t="shared" si="76"/>
        <v>0</v>
      </c>
      <c r="P84">
        <f t="shared" si="77"/>
        <v>0</v>
      </c>
      <c r="Q84">
        <f t="shared" si="78"/>
        <v>0</v>
      </c>
      <c r="R84">
        <f t="shared" si="79"/>
        <v>0</v>
      </c>
      <c r="S84">
        <f t="shared" si="80"/>
        <v>0</v>
      </c>
      <c r="T84" s="134" t="str">
        <f t="shared" si="82"/>
        <v/>
      </c>
      <c r="U84" s="131" t="str">
        <f t="shared" si="83"/>
        <v/>
      </c>
      <c r="V84" s="131" t="str">
        <f t="shared" si="84"/>
        <v/>
      </c>
      <c r="W84" s="135" t="str">
        <f t="shared" si="85"/>
        <v/>
      </c>
      <c r="Y84" s="147" t="str">
        <f t="shared" si="32"/>
        <v/>
      </c>
      <c r="Z84" s="147" t="str">
        <f t="shared" si="33"/>
        <v/>
      </c>
      <c r="AA84" s="147" t="str">
        <f t="shared" si="34"/>
        <v/>
      </c>
      <c r="AB84" s="147" t="str">
        <f t="shared" si="35"/>
        <v/>
      </c>
      <c r="AC84" s="147" t="str">
        <f t="shared" si="36"/>
        <v/>
      </c>
      <c r="AD84" s="147" t="str">
        <f t="shared" si="37"/>
        <v/>
      </c>
      <c r="AE84" s="147" t="str">
        <f t="shared" si="38"/>
        <v/>
      </c>
      <c r="AF84" s="147" t="str">
        <f t="shared" si="39"/>
        <v/>
      </c>
      <c r="AG84" s="147" t="str">
        <f t="shared" si="40"/>
        <v/>
      </c>
      <c r="AH84" s="147" t="str">
        <f t="shared" si="41"/>
        <v/>
      </c>
      <c r="AI84" s="147" t="str">
        <f t="shared" si="42"/>
        <v/>
      </c>
      <c r="AJ84" s="147" t="str">
        <f t="shared" si="43"/>
        <v/>
      </c>
      <c r="AK84" s="147" t="str">
        <f t="shared" si="44"/>
        <v/>
      </c>
      <c r="AL84" s="147" t="str">
        <f t="shared" si="45"/>
        <v/>
      </c>
    </row>
    <row r="85" spans="1:38" ht="15" thickBot="1" x14ac:dyDescent="0.35">
      <c r="C85" s="75"/>
      <c r="D85" s="76"/>
      <c r="E85" s="56" t="s">
        <v>506</v>
      </c>
      <c r="F85" s="79">
        <f t="shared" ref="F85:M85" si="86">SUM(F79:F84)</f>
        <v>0</v>
      </c>
      <c r="G85" s="79">
        <f>SUM(G78:G84)</f>
        <v>0</v>
      </c>
      <c r="H85" s="79">
        <f t="shared" si="86"/>
        <v>0</v>
      </c>
      <c r="I85" s="79">
        <f t="shared" si="86"/>
        <v>0</v>
      </c>
      <c r="J85" s="79">
        <f t="shared" si="86"/>
        <v>0</v>
      </c>
      <c r="K85" s="79">
        <f t="shared" si="86"/>
        <v>0</v>
      </c>
      <c r="L85" s="79">
        <f t="shared" si="86"/>
        <v>0</v>
      </c>
      <c r="M85" s="112">
        <f t="shared" si="86"/>
        <v>0</v>
      </c>
      <c r="N85" s="60">
        <f>SUM(O79:O84,P71:P76,Q63:Q68)</f>
        <v>0</v>
      </c>
      <c r="T85" s="138"/>
      <c r="U85" s="139"/>
      <c r="V85" s="139">
        <f>SUM(V79:V84)</f>
        <v>0</v>
      </c>
      <c r="W85" s="140">
        <f>SUM(W79:W84)</f>
        <v>0</v>
      </c>
      <c r="Y85" s="147"/>
      <c r="Z85" s="147"/>
      <c r="AA85" s="147"/>
      <c r="AB85" s="147"/>
      <c r="AC85" s="147"/>
      <c r="AD85" s="147"/>
      <c r="AE85" s="147"/>
      <c r="AF85" s="147"/>
      <c r="AG85" s="147"/>
      <c r="AH85" s="147"/>
      <c r="AI85" s="147"/>
      <c r="AJ85" s="147"/>
      <c r="AK85" s="147"/>
      <c r="AL85" s="147"/>
    </row>
    <row r="86" spans="1:38" ht="15" thickBot="1" x14ac:dyDescent="0.35">
      <c r="A86" s="128" t="s">
        <v>611</v>
      </c>
      <c r="C86" s="128" t="s">
        <v>501</v>
      </c>
      <c r="D86" s="76" t="s">
        <v>620</v>
      </c>
      <c r="E86" s="76"/>
      <c r="F86" s="76"/>
      <c r="G86" s="146">
        <f>N93-SUM(G87:G92)</f>
        <v>0</v>
      </c>
      <c r="H86" s="76"/>
      <c r="I86" s="76"/>
      <c r="J86" s="76"/>
      <c r="K86" s="76"/>
      <c r="L86" s="76"/>
      <c r="M86" s="77"/>
      <c r="S86">
        <f>SUM(S87:S92)</f>
        <v>0</v>
      </c>
      <c r="T86" s="75"/>
      <c r="U86" s="76"/>
      <c r="V86" s="76"/>
      <c r="W86" s="77"/>
      <c r="Y86" s="147"/>
      <c r="Z86" s="147"/>
      <c r="AA86" s="147"/>
      <c r="AB86" s="147"/>
      <c r="AC86" s="147"/>
      <c r="AD86" s="147"/>
      <c r="AE86" s="147"/>
      <c r="AF86" s="147"/>
      <c r="AG86" s="147"/>
      <c r="AH86" s="147"/>
      <c r="AI86" s="147"/>
      <c r="AJ86" s="147"/>
      <c r="AK86" s="147"/>
      <c r="AL86" s="147"/>
    </row>
    <row r="87" spans="1:38" x14ac:dyDescent="0.3">
      <c r="A87" s="195"/>
      <c r="C87" s="198"/>
      <c r="D87" s="199"/>
      <c r="E87" s="35" t="str">
        <f>_xlfn.IFNA(VLOOKUP(C87,'Te gebruiken meststoffen'!$R$3:$AC$10,12,FALSE),"")</f>
        <v/>
      </c>
      <c r="F87" s="50">
        <f t="shared" ref="F87:F92" si="87">D87*(IFERROR(VLOOKUP(C87,$C$45:$Q$58,3,FALSE),0))</f>
        <v>0</v>
      </c>
      <c r="G87" s="50">
        <f>O87</f>
        <v>0</v>
      </c>
      <c r="H87" s="50">
        <f t="shared" ref="H87:H92" si="88">D87*(IFERROR(VLOOKUP(C87,$C$45:$Q$58,5,FALSE),0))</f>
        <v>0</v>
      </c>
      <c r="I87" s="50">
        <f t="shared" ref="I87:I92" si="89">D87*(IFERROR(VLOOKUP(C87,$C$45:$Q$58,6,FALSE),0))</f>
        <v>0</v>
      </c>
      <c r="J87" s="50">
        <f t="shared" ref="J87:J92" si="90">D87*(IFERROR(VLOOKUP(C87,$C$45:$Q$58,7,FALSE),0))</f>
        <v>0</v>
      </c>
      <c r="K87" s="50">
        <f t="shared" ref="K87:K92" si="91">D87*(IFERROR(VLOOKUP(C87,$C$45:$Q$58,8,FALSE),0))</f>
        <v>0</v>
      </c>
      <c r="L87" s="50">
        <f t="shared" ref="L87:L92" si="92">D87*(IFERROR(VLOOKUP(C87,$C$45:$Q$58,9,FALSE),0))</f>
        <v>0</v>
      </c>
      <c r="M87" s="51">
        <f t="shared" ref="M87:M92" si="93">D87*(IFERROR(VLOOKUP(C87,$C$45:$Q$58,10,FALSE),0))</f>
        <v>0</v>
      </c>
      <c r="N87">
        <f>O87+P79+Q71+R63</f>
        <v>0</v>
      </c>
      <c r="O87">
        <f t="shared" ref="O87:O92" si="94">D87*(IFERROR(VLOOKUP(C87,$C$45:$Q$58,12,FALSE),0))</f>
        <v>0</v>
      </c>
      <c r="P87">
        <f t="shared" ref="P87:P92" si="95">D87*(IFERROR(VLOOKUP(C87,$C$45:$Q$58,13,FALSE),0))</f>
        <v>0</v>
      </c>
      <c r="Q87">
        <f t="shared" ref="Q87:Q92" si="96">D87*(IFERROR(VLOOKUP(C87,$C$45:$Q$58,14,FALSE),0))</f>
        <v>0</v>
      </c>
      <c r="R87" s="150">
        <f t="shared" ref="R87:R92" si="97">D87*(IFERROR(VLOOKUP(C87,$C$45:$Q$58,15,FALSE),0))</f>
        <v>0</v>
      </c>
      <c r="S87">
        <f t="shared" ref="S87:S92" si="98">IF(F87&gt;0,F87,G87)</f>
        <v>0</v>
      </c>
      <c r="T87" s="34" t="str">
        <f>IF(D87="","",D87*$D$9)</f>
        <v/>
      </c>
      <c r="U87" s="35" t="str">
        <f>IF(D87="","",E87)</f>
        <v/>
      </c>
      <c r="V87" s="35" t="str">
        <f>IF(D87="","",D87*(VLOOKUP(C87,$C$45:$M$58,11,FALSE)))</f>
        <v/>
      </c>
      <c r="W87" s="36" t="str">
        <f>IF(T87="","",T87*(VLOOKUP(C87,$C$45:$M$58,11,FALSE)))</f>
        <v/>
      </c>
      <c r="Y87" s="147" t="str">
        <f t="shared" si="32"/>
        <v/>
      </c>
      <c r="Z87" s="147" t="str">
        <f t="shared" si="33"/>
        <v/>
      </c>
      <c r="AA87" s="147" t="str">
        <f t="shared" si="34"/>
        <v/>
      </c>
      <c r="AB87" s="147" t="str">
        <f t="shared" si="35"/>
        <v/>
      </c>
      <c r="AC87" s="147" t="str">
        <f t="shared" si="36"/>
        <v/>
      </c>
      <c r="AD87" s="147" t="str">
        <f t="shared" si="37"/>
        <v/>
      </c>
      <c r="AE87" s="147" t="str">
        <f t="shared" si="38"/>
        <v/>
      </c>
      <c r="AF87" s="147" t="str">
        <f t="shared" si="39"/>
        <v/>
      </c>
      <c r="AG87" s="147" t="str">
        <f t="shared" si="40"/>
        <v/>
      </c>
      <c r="AH87" s="147" t="str">
        <f t="shared" si="41"/>
        <v/>
      </c>
      <c r="AI87" s="147" t="str">
        <f t="shared" si="42"/>
        <v/>
      </c>
      <c r="AJ87" s="147" t="str">
        <f t="shared" si="43"/>
        <v/>
      </c>
      <c r="AK87" s="147" t="str">
        <f t="shared" si="44"/>
        <v/>
      </c>
      <c r="AL87" s="147" t="str">
        <f t="shared" si="45"/>
        <v/>
      </c>
    </row>
    <row r="88" spans="1:38" x14ac:dyDescent="0.3">
      <c r="A88" s="196"/>
      <c r="C88" s="200"/>
      <c r="D88" s="201"/>
      <c r="E88" t="str">
        <f>_xlfn.IFNA(VLOOKUP(C88,'Te gebruiken meststoffen'!$R$3:$AC$10,12,FALSE),"")</f>
        <v/>
      </c>
      <c r="F88" s="52">
        <f t="shared" si="87"/>
        <v>0</v>
      </c>
      <c r="G88" s="52">
        <f t="shared" ref="G88:G92" si="99">O88</f>
        <v>0</v>
      </c>
      <c r="H88" s="52">
        <f t="shared" si="88"/>
        <v>0</v>
      </c>
      <c r="I88" s="52">
        <f t="shared" si="89"/>
        <v>0</v>
      </c>
      <c r="J88" s="52">
        <f t="shared" si="90"/>
        <v>0</v>
      </c>
      <c r="K88" s="52">
        <f t="shared" si="91"/>
        <v>0</v>
      </c>
      <c r="L88" s="52">
        <f t="shared" si="92"/>
        <v>0</v>
      </c>
      <c r="M88" s="53">
        <f t="shared" si="93"/>
        <v>0</v>
      </c>
      <c r="N88">
        <f>O88+P80+Q72+R64</f>
        <v>0</v>
      </c>
      <c r="O88">
        <f t="shared" si="94"/>
        <v>0</v>
      </c>
      <c r="P88">
        <f t="shared" si="95"/>
        <v>0</v>
      </c>
      <c r="Q88">
        <f t="shared" si="96"/>
        <v>0</v>
      </c>
      <c r="R88" s="150">
        <f t="shared" si="97"/>
        <v>0</v>
      </c>
      <c r="S88">
        <f t="shared" si="98"/>
        <v>0</v>
      </c>
      <c r="T88" s="40" t="str">
        <f t="shared" ref="T88:T92" si="100">IF(D88="","",D88*$D$9)</f>
        <v/>
      </c>
      <c r="U88" t="str">
        <f t="shared" ref="U88:U92" si="101">IF(D88="","",E88)</f>
        <v/>
      </c>
      <c r="V88" t="str">
        <f t="shared" ref="V88:V92" si="102">IF(D88="","",D88*(VLOOKUP(C88,$C$45:$M$58,11,FALSE)))</f>
        <v/>
      </c>
      <c r="W88" s="43" t="str">
        <f t="shared" ref="W88:W92" si="103">IF(T88="","",T88*(VLOOKUP(C88,$C$45:$M$58,11,FALSE)))</f>
        <v/>
      </c>
      <c r="Y88" s="147" t="str">
        <f t="shared" si="32"/>
        <v/>
      </c>
      <c r="Z88" s="147" t="str">
        <f t="shared" si="33"/>
        <v/>
      </c>
      <c r="AA88" s="147" t="str">
        <f t="shared" si="34"/>
        <v/>
      </c>
      <c r="AB88" s="147" t="str">
        <f t="shared" si="35"/>
        <v/>
      </c>
      <c r="AC88" s="147" t="str">
        <f t="shared" si="36"/>
        <v/>
      </c>
      <c r="AD88" s="147" t="str">
        <f t="shared" si="37"/>
        <v/>
      </c>
      <c r="AE88" s="147" t="str">
        <f t="shared" si="38"/>
        <v/>
      </c>
      <c r="AF88" s="147" t="str">
        <f t="shared" si="39"/>
        <v/>
      </c>
      <c r="AG88" s="147" t="str">
        <f t="shared" si="40"/>
        <v/>
      </c>
      <c r="AH88" s="147" t="str">
        <f t="shared" si="41"/>
        <v/>
      </c>
      <c r="AI88" s="147" t="str">
        <f t="shared" si="42"/>
        <v/>
      </c>
      <c r="AJ88" s="147" t="str">
        <f t="shared" si="43"/>
        <v/>
      </c>
      <c r="AK88" s="147" t="str">
        <f t="shared" si="44"/>
        <v/>
      </c>
      <c r="AL88" s="147" t="str">
        <f t="shared" si="45"/>
        <v/>
      </c>
    </row>
    <row r="89" spans="1:38" x14ac:dyDescent="0.3">
      <c r="A89" s="196"/>
      <c r="C89" s="200"/>
      <c r="D89" s="201"/>
      <c r="E89" t="str">
        <f>_xlfn.IFNA(VLOOKUP(C89,'Te gebruiken meststoffen'!$R$3:$AC$10,12,FALSE),"")</f>
        <v/>
      </c>
      <c r="F89" s="52">
        <f t="shared" si="87"/>
        <v>0</v>
      </c>
      <c r="G89" s="52">
        <f t="shared" si="99"/>
        <v>0</v>
      </c>
      <c r="H89" s="52">
        <f t="shared" si="88"/>
        <v>0</v>
      </c>
      <c r="I89" s="52">
        <f t="shared" si="89"/>
        <v>0</v>
      </c>
      <c r="J89" s="52">
        <f t="shared" si="90"/>
        <v>0</v>
      </c>
      <c r="K89" s="52">
        <f t="shared" si="91"/>
        <v>0</v>
      </c>
      <c r="L89" s="52">
        <f t="shared" si="92"/>
        <v>0</v>
      </c>
      <c r="M89" s="53">
        <f t="shared" si="93"/>
        <v>0</v>
      </c>
      <c r="N89">
        <f t="shared" ref="N89:N92" si="104">O89+P81+Q73+R65</f>
        <v>0</v>
      </c>
      <c r="O89">
        <f t="shared" si="94"/>
        <v>0</v>
      </c>
      <c r="P89">
        <f t="shared" si="95"/>
        <v>0</v>
      </c>
      <c r="Q89">
        <f t="shared" si="96"/>
        <v>0</v>
      </c>
      <c r="R89" s="150">
        <f t="shared" si="97"/>
        <v>0</v>
      </c>
      <c r="S89">
        <f t="shared" si="98"/>
        <v>0</v>
      </c>
      <c r="T89" s="40" t="str">
        <f t="shared" si="100"/>
        <v/>
      </c>
      <c r="U89" t="str">
        <f t="shared" si="101"/>
        <v/>
      </c>
      <c r="V89" t="str">
        <f t="shared" si="102"/>
        <v/>
      </c>
      <c r="W89" s="43" t="str">
        <f t="shared" si="103"/>
        <v/>
      </c>
      <c r="Y89" s="147" t="str">
        <f t="shared" si="32"/>
        <v/>
      </c>
      <c r="Z89" s="147" t="str">
        <f t="shared" si="33"/>
        <v/>
      </c>
      <c r="AA89" s="147" t="str">
        <f t="shared" si="34"/>
        <v/>
      </c>
      <c r="AB89" s="147" t="str">
        <f t="shared" si="35"/>
        <v/>
      </c>
      <c r="AC89" s="147" t="str">
        <f t="shared" si="36"/>
        <v/>
      </c>
      <c r="AD89" s="147" t="str">
        <f t="shared" si="37"/>
        <v/>
      </c>
      <c r="AE89" s="147" t="str">
        <f t="shared" si="38"/>
        <v/>
      </c>
      <c r="AF89" s="147" t="str">
        <f t="shared" si="39"/>
        <v/>
      </c>
      <c r="AG89" s="147" t="str">
        <f t="shared" si="40"/>
        <v/>
      </c>
      <c r="AH89" s="147" t="str">
        <f t="shared" si="41"/>
        <v/>
      </c>
      <c r="AI89" s="147" t="str">
        <f t="shared" si="42"/>
        <v/>
      </c>
      <c r="AJ89" s="147" t="str">
        <f t="shared" si="43"/>
        <v/>
      </c>
      <c r="AK89" s="147" t="str">
        <f t="shared" si="44"/>
        <v/>
      </c>
      <c r="AL89" s="147" t="str">
        <f t="shared" si="45"/>
        <v/>
      </c>
    </row>
    <row r="90" spans="1:38" x14ac:dyDescent="0.3">
      <c r="A90" s="196"/>
      <c r="C90" s="200"/>
      <c r="D90" s="201"/>
      <c r="E90" t="str">
        <f>_xlfn.IFNA(VLOOKUP(C90,'Te gebruiken meststoffen'!$R$3:$AC$10,12,FALSE),"")</f>
        <v/>
      </c>
      <c r="F90" s="52">
        <f t="shared" si="87"/>
        <v>0</v>
      </c>
      <c r="G90" s="52">
        <f t="shared" si="99"/>
        <v>0</v>
      </c>
      <c r="H90" s="52">
        <f t="shared" si="88"/>
        <v>0</v>
      </c>
      <c r="I90" s="52">
        <f t="shared" si="89"/>
        <v>0</v>
      </c>
      <c r="J90" s="52">
        <f t="shared" si="90"/>
        <v>0</v>
      </c>
      <c r="K90" s="52">
        <f t="shared" si="91"/>
        <v>0</v>
      </c>
      <c r="L90" s="52">
        <f t="shared" si="92"/>
        <v>0</v>
      </c>
      <c r="M90" s="53">
        <f t="shared" si="93"/>
        <v>0</v>
      </c>
      <c r="N90">
        <f t="shared" si="104"/>
        <v>0</v>
      </c>
      <c r="O90">
        <f t="shared" si="94"/>
        <v>0</v>
      </c>
      <c r="P90">
        <f t="shared" si="95"/>
        <v>0</v>
      </c>
      <c r="Q90">
        <f t="shared" si="96"/>
        <v>0</v>
      </c>
      <c r="R90" s="150">
        <f t="shared" si="97"/>
        <v>0</v>
      </c>
      <c r="S90">
        <f t="shared" si="98"/>
        <v>0</v>
      </c>
      <c r="T90" s="40" t="str">
        <f t="shared" si="100"/>
        <v/>
      </c>
      <c r="U90" t="str">
        <f t="shared" si="101"/>
        <v/>
      </c>
      <c r="V90" t="str">
        <f t="shared" si="102"/>
        <v/>
      </c>
      <c r="W90" s="43" t="str">
        <f t="shared" si="103"/>
        <v/>
      </c>
      <c r="Y90" s="147" t="str">
        <f t="shared" si="32"/>
        <v/>
      </c>
      <c r="Z90" s="147" t="str">
        <f t="shared" si="33"/>
        <v/>
      </c>
      <c r="AA90" s="147" t="str">
        <f t="shared" si="34"/>
        <v/>
      </c>
      <c r="AB90" s="147" t="str">
        <f t="shared" si="35"/>
        <v/>
      </c>
      <c r="AC90" s="147" t="str">
        <f t="shared" si="36"/>
        <v/>
      </c>
      <c r="AD90" s="147" t="str">
        <f t="shared" si="37"/>
        <v/>
      </c>
      <c r="AE90" s="147" t="str">
        <f t="shared" si="38"/>
        <v/>
      </c>
      <c r="AF90" s="147" t="str">
        <f t="shared" si="39"/>
        <v/>
      </c>
      <c r="AG90" s="147" t="str">
        <f t="shared" si="40"/>
        <v/>
      </c>
      <c r="AH90" s="147" t="str">
        <f t="shared" si="41"/>
        <v/>
      </c>
      <c r="AI90" s="147" t="str">
        <f t="shared" si="42"/>
        <v/>
      </c>
      <c r="AJ90" s="147" t="str">
        <f t="shared" si="43"/>
        <v/>
      </c>
      <c r="AK90" s="147" t="str">
        <f t="shared" si="44"/>
        <v/>
      </c>
      <c r="AL90" s="147" t="str">
        <f t="shared" si="45"/>
        <v/>
      </c>
    </row>
    <row r="91" spans="1:38" x14ac:dyDescent="0.3">
      <c r="A91" s="196"/>
      <c r="C91" s="200"/>
      <c r="D91" s="201"/>
      <c r="E91" t="str">
        <f>_xlfn.IFNA(VLOOKUP(C91,'Te gebruiken meststoffen'!$R$3:$AC$10,12,FALSE),"")</f>
        <v/>
      </c>
      <c r="F91" s="52">
        <f t="shared" si="87"/>
        <v>0</v>
      </c>
      <c r="G91" s="52">
        <f t="shared" si="99"/>
        <v>0</v>
      </c>
      <c r="H91" s="52">
        <f t="shared" si="88"/>
        <v>0</v>
      </c>
      <c r="I91" s="52">
        <f t="shared" si="89"/>
        <v>0</v>
      </c>
      <c r="J91" s="52">
        <f t="shared" si="90"/>
        <v>0</v>
      </c>
      <c r="K91" s="52">
        <f t="shared" si="91"/>
        <v>0</v>
      </c>
      <c r="L91" s="52">
        <f t="shared" si="92"/>
        <v>0</v>
      </c>
      <c r="M91" s="53">
        <f t="shared" si="93"/>
        <v>0</v>
      </c>
      <c r="N91">
        <f t="shared" si="104"/>
        <v>0</v>
      </c>
      <c r="O91">
        <f t="shared" si="94"/>
        <v>0</v>
      </c>
      <c r="P91">
        <f t="shared" si="95"/>
        <v>0</v>
      </c>
      <c r="Q91">
        <f t="shared" si="96"/>
        <v>0</v>
      </c>
      <c r="R91" s="150">
        <f t="shared" si="97"/>
        <v>0</v>
      </c>
      <c r="S91">
        <f t="shared" si="98"/>
        <v>0</v>
      </c>
      <c r="T91" s="40" t="str">
        <f t="shared" si="100"/>
        <v/>
      </c>
      <c r="U91" t="str">
        <f t="shared" si="101"/>
        <v/>
      </c>
      <c r="V91" t="str">
        <f t="shared" si="102"/>
        <v/>
      </c>
      <c r="W91" s="43" t="str">
        <f t="shared" si="103"/>
        <v/>
      </c>
      <c r="Y91" s="147" t="str">
        <f t="shared" si="32"/>
        <v/>
      </c>
      <c r="Z91" s="147" t="str">
        <f t="shared" si="33"/>
        <v/>
      </c>
      <c r="AA91" s="147" t="str">
        <f t="shared" si="34"/>
        <v/>
      </c>
      <c r="AB91" s="147" t="str">
        <f t="shared" si="35"/>
        <v/>
      </c>
      <c r="AC91" s="147" t="str">
        <f t="shared" si="36"/>
        <v/>
      </c>
      <c r="AD91" s="147" t="str">
        <f t="shared" si="37"/>
        <v/>
      </c>
      <c r="AE91" s="147" t="str">
        <f t="shared" si="38"/>
        <v/>
      </c>
      <c r="AF91" s="147" t="str">
        <f t="shared" si="39"/>
        <v/>
      </c>
      <c r="AG91" s="147" t="str">
        <f t="shared" si="40"/>
        <v/>
      </c>
      <c r="AH91" s="147" t="str">
        <f t="shared" si="41"/>
        <v/>
      </c>
      <c r="AI91" s="147" t="str">
        <f t="shared" si="42"/>
        <v/>
      </c>
      <c r="AJ91" s="147" t="str">
        <f t="shared" si="43"/>
        <v/>
      </c>
      <c r="AK91" s="147" t="str">
        <f t="shared" si="44"/>
        <v/>
      </c>
      <c r="AL91" s="147" t="str">
        <f t="shared" si="45"/>
        <v/>
      </c>
    </row>
    <row r="92" spans="1:38" ht="15" thickBot="1" x14ac:dyDescent="0.35">
      <c r="A92" s="197"/>
      <c r="C92" s="200"/>
      <c r="D92" s="201"/>
      <c r="E92" t="str">
        <f>_xlfn.IFNA(VLOOKUP(C92,'Te gebruiken meststoffen'!$R$3:$AC$10,12,FALSE),"")</f>
        <v/>
      </c>
      <c r="F92" s="52">
        <f t="shared" si="87"/>
        <v>0</v>
      </c>
      <c r="G92" s="52">
        <f t="shared" si="99"/>
        <v>0</v>
      </c>
      <c r="H92" s="52">
        <f t="shared" si="88"/>
        <v>0</v>
      </c>
      <c r="I92" s="52">
        <f t="shared" si="89"/>
        <v>0</v>
      </c>
      <c r="J92" s="52">
        <f t="shared" si="90"/>
        <v>0</v>
      </c>
      <c r="K92" s="52">
        <f t="shared" si="91"/>
        <v>0</v>
      </c>
      <c r="L92" s="52">
        <f t="shared" si="92"/>
        <v>0</v>
      </c>
      <c r="M92" s="53">
        <f t="shared" si="93"/>
        <v>0</v>
      </c>
      <c r="N92">
        <f t="shared" si="104"/>
        <v>0</v>
      </c>
      <c r="O92">
        <f t="shared" si="94"/>
        <v>0</v>
      </c>
      <c r="P92">
        <f t="shared" si="95"/>
        <v>0</v>
      </c>
      <c r="Q92">
        <f t="shared" si="96"/>
        <v>0</v>
      </c>
      <c r="R92" s="150">
        <f t="shared" si="97"/>
        <v>0</v>
      </c>
      <c r="S92">
        <f t="shared" si="98"/>
        <v>0</v>
      </c>
      <c r="T92" s="134" t="str">
        <f t="shared" si="100"/>
        <v/>
      </c>
      <c r="U92" s="131" t="str">
        <f t="shared" si="101"/>
        <v/>
      </c>
      <c r="V92" s="131" t="str">
        <f t="shared" si="102"/>
        <v/>
      </c>
      <c r="W92" s="135" t="str">
        <f t="shared" si="103"/>
        <v/>
      </c>
      <c r="Y92" s="147" t="str">
        <f t="shared" si="32"/>
        <v/>
      </c>
      <c r="Z92" s="147" t="str">
        <f t="shared" si="33"/>
        <v/>
      </c>
      <c r="AA92" s="147" t="str">
        <f t="shared" si="34"/>
        <v/>
      </c>
      <c r="AB92" s="147" t="str">
        <f t="shared" si="35"/>
        <v/>
      </c>
      <c r="AC92" s="147" t="str">
        <f t="shared" si="36"/>
        <v/>
      </c>
      <c r="AD92" s="147" t="str">
        <f t="shared" si="37"/>
        <v/>
      </c>
      <c r="AE92" s="147" t="str">
        <f t="shared" si="38"/>
        <v/>
      </c>
      <c r="AF92" s="147" t="str">
        <f t="shared" si="39"/>
        <v/>
      </c>
      <c r="AG92" s="147" t="str">
        <f t="shared" si="40"/>
        <v/>
      </c>
      <c r="AH92" s="147" t="str">
        <f t="shared" si="41"/>
        <v/>
      </c>
      <c r="AI92" s="147" t="str">
        <f t="shared" si="42"/>
        <v/>
      </c>
      <c r="AJ92" s="147" t="str">
        <f t="shared" si="43"/>
        <v/>
      </c>
      <c r="AK92" s="147" t="str">
        <f t="shared" si="44"/>
        <v/>
      </c>
      <c r="AL92" s="147" t="str">
        <f t="shared" si="45"/>
        <v/>
      </c>
    </row>
    <row r="93" spans="1:38" ht="15" thickBot="1" x14ac:dyDescent="0.35">
      <c r="C93" s="75"/>
      <c r="D93" s="76"/>
      <c r="E93" s="56" t="s">
        <v>507</v>
      </c>
      <c r="F93" s="79">
        <f t="shared" ref="F93:M93" si="105">SUM(F87:F92)</f>
        <v>0</v>
      </c>
      <c r="G93" s="79">
        <f>SUM(G86:G92)</f>
        <v>0</v>
      </c>
      <c r="H93" s="79">
        <f t="shared" si="105"/>
        <v>0</v>
      </c>
      <c r="I93" s="79">
        <f t="shared" si="105"/>
        <v>0</v>
      </c>
      <c r="J93" s="79">
        <f t="shared" si="105"/>
        <v>0</v>
      </c>
      <c r="K93" s="79">
        <f t="shared" si="105"/>
        <v>0</v>
      </c>
      <c r="L93" s="79">
        <f t="shared" si="105"/>
        <v>0</v>
      </c>
      <c r="M93" s="112">
        <f t="shared" si="105"/>
        <v>0</v>
      </c>
      <c r="N93" s="60">
        <f>SUM(O87:O92,P79:P84,Q71:Q76,R63:R68)</f>
        <v>0</v>
      </c>
      <c r="T93" s="138"/>
      <c r="U93" s="139"/>
      <c r="V93" s="139">
        <f>SUM(V87:V92)</f>
        <v>0</v>
      </c>
      <c r="W93" s="140">
        <f>SUM(W87:W92)</f>
        <v>0</v>
      </c>
      <c r="Y93" s="147"/>
      <c r="Z93" s="147"/>
      <c r="AA93" s="147"/>
      <c r="AB93" s="147"/>
      <c r="AC93" s="147"/>
      <c r="AD93" s="147"/>
      <c r="AE93" s="147"/>
      <c r="AF93" s="147"/>
      <c r="AG93" s="147"/>
      <c r="AH93" s="147"/>
      <c r="AI93" s="147"/>
      <c r="AJ93" s="147"/>
      <c r="AK93" s="147"/>
      <c r="AL93" s="147"/>
    </row>
    <row r="94" spans="1:38" ht="15" thickBot="1" x14ac:dyDescent="0.35">
      <c r="A94" s="128" t="s">
        <v>611</v>
      </c>
      <c r="C94" s="128" t="s">
        <v>502</v>
      </c>
      <c r="D94" s="76" t="s">
        <v>620</v>
      </c>
      <c r="E94" s="76"/>
      <c r="F94" s="76"/>
      <c r="G94" s="146">
        <f>N101-SUM(G95:G100)</f>
        <v>0</v>
      </c>
      <c r="H94" s="76"/>
      <c r="I94" s="76"/>
      <c r="J94" s="76"/>
      <c r="K94" s="76"/>
      <c r="L94" s="76"/>
      <c r="M94" s="77"/>
      <c r="S94">
        <f>SUM(S95:S100)</f>
        <v>0</v>
      </c>
      <c r="T94" s="75"/>
      <c r="U94" s="76"/>
      <c r="V94" s="76"/>
      <c r="W94" s="77"/>
      <c r="Y94" s="147"/>
      <c r="Z94" s="147"/>
      <c r="AA94" s="147"/>
      <c r="AB94" s="147"/>
      <c r="AC94" s="147"/>
      <c r="AD94" s="147"/>
      <c r="AE94" s="147"/>
      <c r="AF94" s="147"/>
      <c r="AG94" s="147"/>
      <c r="AH94" s="147"/>
      <c r="AI94" s="147"/>
      <c r="AJ94" s="147"/>
      <c r="AK94" s="147"/>
      <c r="AL94" s="147"/>
    </row>
    <row r="95" spans="1:38" x14ac:dyDescent="0.3">
      <c r="A95" s="195"/>
      <c r="C95" s="198"/>
      <c r="D95" s="199"/>
      <c r="E95" s="35" t="str">
        <f>_xlfn.IFNA(VLOOKUP(C95,'Te gebruiken meststoffen'!$R$3:$AC$10,12,FALSE),"")</f>
        <v/>
      </c>
      <c r="F95" s="50">
        <f t="shared" ref="F95:F100" si="106">D95*(IFERROR(VLOOKUP(C95,$C$45:$Q$58,3,FALSE),0))</f>
        <v>0</v>
      </c>
      <c r="G95" s="50">
        <f>O95</f>
        <v>0</v>
      </c>
      <c r="H95" s="50">
        <f t="shared" ref="H95:H100" si="107">D95*(IFERROR(VLOOKUP(C95,$C$45:$Q$58,5,FALSE),0))</f>
        <v>0</v>
      </c>
      <c r="I95" s="50">
        <f t="shared" ref="I95:I100" si="108">D95*(IFERROR(VLOOKUP(C95,$C$45:$Q$58,6,FALSE),0))</f>
        <v>0</v>
      </c>
      <c r="J95" s="50">
        <f t="shared" ref="J95:J100" si="109">D95*(IFERROR(VLOOKUP(C95,$C$45:$Q$58,7,FALSE),0))</f>
        <v>0</v>
      </c>
      <c r="K95" s="50">
        <f t="shared" ref="K95:K100" si="110">D95*(IFERROR(VLOOKUP(C95,$C$45:$Q$58,8,FALSE),0))</f>
        <v>0</v>
      </c>
      <c r="L95" s="50">
        <f t="shared" ref="L95:L100" si="111">D95*(IFERROR(VLOOKUP(C95,$C$45:$Q$58,9,FALSE),0))</f>
        <v>0</v>
      </c>
      <c r="M95" s="51">
        <f t="shared" ref="M95:M100" si="112">D95*(IFERROR(VLOOKUP(C95,$C$45:$Q$58,10,FALSE),0))</f>
        <v>0</v>
      </c>
      <c r="N95">
        <f t="shared" ref="N95:N100" si="113">O95+P87+Q79+R71</f>
        <v>0</v>
      </c>
      <c r="O95">
        <f t="shared" ref="O95:O100" si="114">D95*(IFERROR(VLOOKUP(C95,$C$45:$Q$58,12,FALSE),0))</f>
        <v>0</v>
      </c>
      <c r="P95">
        <f t="shared" ref="P95:P100" si="115">D95*(IFERROR(VLOOKUP(C95,$C$45:$Q$58,13,FALSE),0))</f>
        <v>0</v>
      </c>
      <c r="Q95" s="150">
        <f t="shared" ref="Q95:Q100" si="116">D95*(IFERROR(VLOOKUP(C95,$C$45:$Q$58,14,FALSE),0))</f>
        <v>0</v>
      </c>
      <c r="R95" s="150">
        <f t="shared" ref="R95:R100" si="117">D95*(IFERROR(VLOOKUP(C95,$C$45:$Q$58,15,FALSE),0))</f>
        <v>0</v>
      </c>
      <c r="S95">
        <f t="shared" ref="S95:S100" si="118">IF(F95&gt;0,F95,G95)</f>
        <v>0</v>
      </c>
      <c r="T95" s="34" t="str">
        <f>IF(D95="","",D95*$D$9)</f>
        <v/>
      </c>
      <c r="U95" s="35" t="str">
        <f>IF(D95="","",E95)</f>
        <v/>
      </c>
      <c r="V95" s="35" t="str">
        <f>IF(D95="","",D95*(VLOOKUP(C95,$C$45:$M$58,11,FALSE)))</f>
        <v/>
      </c>
      <c r="W95" s="36" t="str">
        <f>IF(T95="","",T95*(VLOOKUP(C95,$C$45:$M$58,11,FALSE)))</f>
        <v/>
      </c>
      <c r="Y95" s="147" t="str">
        <f t="shared" si="32"/>
        <v/>
      </c>
      <c r="Z95" s="147" t="str">
        <f t="shared" si="33"/>
        <v/>
      </c>
      <c r="AA95" s="147" t="str">
        <f t="shared" si="34"/>
        <v/>
      </c>
      <c r="AB95" s="147" t="str">
        <f t="shared" si="35"/>
        <v/>
      </c>
      <c r="AC95" s="147" t="str">
        <f t="shared" si="36"/>
        <v/>
      </c>
      <c r="AD95" s="147" t="str">
        <f t="shared" si="37"/>
        <v/>
      </c>
      <c r="AE95" s="147" t="str">
        <f t="shared" si="38"/>
        <v/>
      </c>
      <c r="AF95" s="147" t="str">
        <f t="shared" si="39"/>
        <v/>
      </c>
      <c r="AG95" s="147" t="str">
        <f t="shared" si="40"/>
        <v/>
      </c>
      <c r="AH95" s="147" t="str">
        <f t="shared" si="41"/>
        <v/>
      </c>
      <c r="AI95" s="147" t="str">
        <f t="shared" si="42"/>
        <v/>
      </c>
      <c r="AJ95" s="147" t="str">
        <f t="shared" si="43"/>
        <v/>
      </c>
      <c r="AK95" s="147" t="str">
        <f t="shared" si="44"/>
        <v/>
      </c>
      <c r="AL95" s="147" t="str">
        <f t="shared" si="45"/>
        <v/>
      </c>
    </row>
    <row r="96" spans="1:38" x14ac:dyDescent="0.3">
      <c r="A96" s="196"/>
      <c r="C96" s="200"/>
      <c r="D96" s="201"/>
      <c r="E96" t="str">
        <f>_xlfn.IFNA(VLOOKUP(C96,'Te gebruiken meststoffen'!$R$3:$AC$10,12,FALSE),"")</f>
        <v/>
      </c>
      <c r="F96" s="52">
        <f t="shared" si="106"/>
        <v>0</v>
      </c>
      <c r="G96" s="52">
        <f t="shared" ref="G96:G100" si="119">O96</f>
        <v>0</v>
      </c>
      <c r="H96" s="52">
        <f t="shared" si="107"/>
        <v>0</v>
      </c>
      <c r="I96" s="52">
        <f t="shared" si="108"/>
        <v>0</v>
      </c>
      <c r="J96" s="52">
        <f t="shared" si="109"/>
        <v>0</v>
      </c>
      <c r="K96" s="52">
        <f t="shared" si="110"/>
        <v>0</v>
      </c>
      <c r="L96" s="52">
        <f t="shared" si="111"/>
        <v>0</v>
      </c>
      <c r="M96" s="53">
        <f t="shared" si="112"/>
        <v>0</v>
      </c>
      <c r="N96">
        <f>O96+P88+Q80+R72</f>
        <v>0</v>
      </c>
      <c r="O96">
        <f t="shared" si="114"/>
        <v>0</v>
      </c>
      <c r="P96">
        <f t="shared" si="115"/>
        <v>0</v>
      </c>
      <c r="Q96" s="150">
        <f t="shared" si="116"/>
        <v>0</v>
      </c>
      <c r="R96" s="150">
        <f t="shared" si="117"/>
        <v>0</v>
      </c>
      <c r="S96">
        <f t="shared" si="118"/>
        <v>0</v>
      </c>
      <c r="T96" s="40" t="str">
        <f t="shared" ref="T96:T100" si="120">IF(D96="","",D96*$D$9)</f>
        <v/>
      </c>
      <c r="U96" t="str">
        <f t="shared" ref="U96:U100" si="121">IF(D96="","",E96)</f>
        <v/>
      </c>
      <c r="V96" t="str">
        <f t="shared" ref="V96:V100" si="122">IF(D96="","",D96*(VLOOKUP(C96,$C$45:$M$58,11,FALSE)))</f>
        <v/>
      </c>
      <c r="W96" s="43" t="str">
        <f t="shared" ref="W96:W100" si="123">IF(T96="","",T96*(VLOOKUP(C96,$C$45:$M$58,11,FALSE)))</f>
        <v/>
      </c>
      <c r="Y96" s="147" t="str">
        <f t="shared" si="32"/>
        <v/>
      </c>
      <c r="Z96" s="147" t="str">
        <f t="shared" si="33"/>
        <v/>
      </c>
      <c r="AA96" s="147" t="str">
        <f t="shared" si="34"/>
        <v/>
      </c>
      <c r="AB96" s="147" t="str">
        <f t="shared" si="35"/>
        <v/>
      </c>
      <c r="AC96" s="147" t="str">
        <f t="shared" si="36"/>
        <v/>
      </c>
      <c r="AD96" s="147" t="str">
        <f t="shared" si="37"/>
        <v/>
      </c>
      <c r="AE96" s="147" t="str">
        <f t="shared" si="38"/>
        <v/>
      </c>
      <c r="AF96" s="147" t="str">
        <f t="shared" si="39"/>
        <v/>
      </c>
      <c r="AG96" s="147" t="str">
        <f t="shared" si="40"/>
        <v/>
      </c>
      <c r="AH96" s="147" t="str">
        <f t="shared" si="41"/>
        <v/>
      </c>
      <c r="AI96" s="147" t="str">
        <f t="shared" si="42"/>
        <v/>
      </c>
      <c r="AJ96" s="147" t="str">
        <f t="shared" si="43"/>
        <v/>
      </c>
      <c r="AK96" s="147" t="str">
        <f t="shared" si="44"/>
        <v/>
      </c>
      <c r="AL96" s="147" t="str">
        <f t="shared" si="45"/>
        <v/>
      </c>
    </row>
    <row r="97" spans="1:38" x14ac:dyDescent="0.3">
      <c r="A97" s="196"/>
      <c r="C97" s="200"/>
      <c r="D97" s="201"/>
      <c r="E97" t="str">
        <f>_xlfn.IFNA(VLOOKUP(C97,'Te gebruiken meststoffen'!$R$3:$AC$10,12,FALSE),"")</f>
        <v/>
      </c>
      <c r="F97" s="52">
        <f t="shared" si="106"/>
        <v>0</v>
      </c>
      <c r="G97" s="52">
        <f t="shared" si="119"/>
        <v>0</v>
      </c>
      <c r="H97" s="52">
        <f t="shared" si="107"/>
        <v>0</v>
      </c>
      <c r="I97" s="52">
        <f t="shared" si="108"/>
        <v>0</v>
      </c>
      <c r="J97" s="52">
        <f t="shared" si="109"/>
        <v>0</v>
      </c>
      <c r="K97" s="52">
        <f t="shared" si="110"/>
        <v>0</v>
      </c>
      <c r="L97" s="52">
        <f t="shared" si="111"/>
        <v>0</v>
      </c>
      <c r="M97" s="53">
        <f t="shared" si="112"/>
        <v>0</v>
      </c>
      <c r="N97">
        <f t="shared" si="113"/>
        <v>0</v>
      </c>
      <c r="O97">
        <f t="shared" si="114"/>
        <v>0</v>
      </c>
      <c r="P97">
        <f t="shared" si="115"/>
        <v>0</v>
      </c>
      <c r="Q97" s="150">
        <f t="shared" si="116"/>
        <v>0</v>
      </c>
      <c r="R97" s="150">
        <f t="shared" si="117"/>
        <v>0</v>
      </c>
      <c r="S97">
        <f t="shared" si="118"/>
        <v>0</v>
      </c>
      <c r="T97" s="40" t="str">
        <f t="shared" si="120"/>
        <v/>
      </c>
      <c r="U97" t="str">
        <f t="shared" si="121"/>
        <v/>
      </c>
      <c r="V97" t="str">
        <f t="shared" si="122"/>
        <v/>
      </c>
      <c r="W97" s="43" t="str">
        <f t="shared" si="123"/>
        <v/>
      </c>
      <c r="Y97" s="147" t="str">
        <f t="shared" si="32"/>
        <v/>
      </c>
      <c r="Z97" s="147" t="str">
        <f t="shared" si="33"/>
        <v/>
      </c>
      <c r="AA97" s="147" t="str">
        <f t="shared" si="34"/>
        <v/>
      </c>
      <c r="AB97" s="147" t="str">
        <f t="shared" si="35"/>
        <v/>
      </c>
      <c r="AC97" s="147" t="str">
        <f t="shared" si="36"/>
        <v/>
      </c>
      <c r="AD97" s="147" t="str">
        <f t="shared" si="37"/>
        <v/>
      </c>
      <c r="AE97" s="147" t="str">
        <f t="shared" si="38"/>
        <v/>
      </c>
      <c r="AF97" s="147" t="str">
        <f t="shared" si="39"/>
        <v/>
      </c>
      <c r="AG97" s="147" t="str">
        <f t="shared" si="40"/>
        <v/>
      </c>
      <c r="AH97" s="147" t="str">
        <f t="shared" si="41"/>
        <v/>
      </c>
      <c r="AI97" s="147" t="str">
        <f t="shared" si="42"/>
        <v/>
      </c>
      <c r="AJ97" s="147" t="str">
        <f t="shared" si="43"/>
        <v/>
      </c>
      <c r="AK97" s="147" t="str">
        <f t="shared" si="44"/>
        <v/>
      </c>
      <c r="AL97" s="147" t="str">
        <f t="shared" si="45"/>
        <v/>
      </c>
    </row>
    <row r="98" spans="1:38" x14ac:dyDescent="0.3">
      <c r="A98" s="196"/>
      <c r="C98" s="200"/>
      <c r="D98" s="201"/>
      <c r="E98" t="str">
        <f>_xlfn.IFNA(VLOOKUP(C98,'Te gebruiken meststoffen'!$R$3:$AC$10,12,FALSE),"")</f>
        <v/>
      </c>
      <c r="F98" s="52">
        <f t="shared" si="106"/>
        <v>0</v>
      </c>
      <c r="G98" s="52">
        <f t="shared" si="119"/>
        <v>0</v>
      </c>
      <c r="H98" s="52">
        <f t="shared" si="107"/>
        <v>0</v>
      </c>
      <c r="I98" s="52">
        <f t="shared" si="108"/>
        <v>0</v>
      </c>
      <c r="J98" s="52">
        <f t="shared" si="109"/>
        <v>0</v>
      </c>
      <c r="K98" s="52">
        <f t="shared" si="110"/>
        <v>0</v>
      </c>
      <c r="L98" s="52">
        <f t="shared" si="111"/>
        <v>0</v>
      </c>
      <c r="M98" s="53">
        <f t="shared" si="112"/>
        <v>0</v>
      </c>
      <c r="N98">
        <f t="shared" si="113"/>
        <v>0</v>
      </c>
      <c r="O98">
        <f t="shared" si="114"/>
        <v>0</v>
      </c>
      <c r="P98">
        <f t="shared" si="115"/>
        <v>0</v>
      </c>
      <c r="Q98" s="150">
        <f t="shared" si="116"/>
        <v>0</v>
      </c>
      <c r="R98" s="150">
        <f t="shared" si="117"/>
        <v>0</v>
      </c>
      <c r="S98">
        <f t="shared" si="118"/>
        <v>0</v>
      </c>
      <c r="T98" s="40" t="str">
        <f t="shared" si="120"/>
        <v/>
      </c>
      <c r="U98" t="str">
        <f t="shared" si="121"/>
        <v/>
      </c>
      <c r="V98" t="str">
        <f t="shared" si="122"/>
        <v/>
      </c>
      <c r="W98" s="43" t="str">
        <f t="shared" si="123"/>
        <v/>
      </c>
      <c r="Y98" s="147" t="str">
        <f t="shared" si="32"/>
        <v/>
      </c>
      <c r="Z98" s="147" t="str">
        <f t="shared" si="33"/>
        <v/>
      </c>
      <c r="AA98" s="147" t="str">
        <f t="shared" si="34"/>
        <v/>
      </c>
      <c r="AB98" s="147" t="str">
        <f t="shared" si="35"/>
        <v/>
      </c>
      <c r="AC98" s="147" t="str">
        <f t="shared" si="36"/>
        <v/>
      </c>
      <c r="AD98" s="147" t="str">
        <f t="shared" si="37"/>
        <v/>
      </c>
      <c r="AE98" s="147" t="str">
        <f t="shared" si="38"/>
        <v/>
      </c>
      <c r="AF98" s="147" t="str">
        <f t="shared" si="39"/>
        <v/>
      </c>
      <c r="AG98" s="147" t="str">
        <f t="shared" si="40"/>
        <v/>
      </c>
      <c r="AH98" s="147" t="str">
        <f t="shared" si="41"/>
        <v/>
      </c>
      <c r="AI98" s="147" t="str">
        <f t="shared" si="42"/>
        <v/>
      </c>
      <c r="AJ98" s="147" t="str">
        <f t="shared" si="43"/>
        <v/>
      </c>
      <c r="AK98" s="147" t="str">
        <f t="shared" si="44"/>
        <v/>
      </c>
      <c r="AL98" s="147" t="str">
        <f t="shared" si="45"/>
        <v/>
      </c>
    </row>
    <row r="99" spans="1:38" x14ac:dyDescent="0.3">
      <c r="A99" s="196"/>
      <c r="C99" s="200"/>
      <c r="D99" s="201"/>
      <c r="E99" t="str">
        <f>_xlfn.IFNA(VLOOKUP(C99,'Te gebruiken meststoffen'!$R$3:$AC$10,12,FALSE),"")</f>
        <v/>
      </c>
      <c r="F99" s="52">
        <f t="shared" si="106"/>
        <v>0</v>
      </c>
      <c r="G99" s="52">
        <f t="shared" si="119"/>
        <v>0</v>
      </c>
      <c r="H99" s="52">
        <f t="shared" si="107"/>
        <v>0</v>
      </c>
      <c r="I99" s="52">
        <f t="shared" si="108"/>
        <v>0</v>
      </c>
      <c r="J99" s="52">
        <f t="shared" si="109"/>
        <v>0</v>
      </c>
      <c r="K99" s="52">
        <f t="shared" si="110"/>
        <v>0</v>
      </c>
      <c r="L99" s="52">
        <f t="shared" si="111"/>
        <v>0</v>
      </c>
      <c r="M99" s="53">
        <f t="shared" si="112"/>
        <v>0</v>
      </c>
      <c r="N99">
        <f t="shared" si="113"/>
        <v>0</v>
      </c>
      <c r="O99">
        <f t="shared" si="114"/>
        <v>0</v>
      </c>
      <c r="P99">
        <f t="shared" si="115"/>
        <v>0</v>
      </c>
      <c r="Q99" s="150">
        <f t="shared" si="116"/>
        <v>0</v>
      </c>
      <c r="R99" s="150">
        <f t="shared" si="117"/>
        <v>0</v>
      </c>
      <c r="S99">
        <f t="shared" si="118"/>
        <v>0</v>
      </c>
      <c r="T99" s="40" t="str">
        <f t="shared" si="120"/>
        <v/>
      </c>
      <c r="U99" t="str">
        <f t="shared" si="121"/>
        <v/>
      </c>
      <c r="V99" t="str">
        <f t="shared" si="122"/>
        <v/>
      </c>
      <c r="W99" s="43" t="str">
        <f t="shared" si="123"/>
        <v/>
      </c>
      <c r="Y99" s="147" t="str">
        <f t="shared" si="32"/>
        <v/>
      </c>
      <c r="Z99" s="147" t="str">
        <f t="shared" si="33"/>
        <v/>
      </c>
      <c r="AA99" s="147" t="str">
        <f t="shared" si="34"/>
        <v/>
      </c>
      <c r="AB99" s="147" t="str">
        <f t="shared" si="35"/>
        <v/>
      </c>
      <c r="AC99" s="147" t="str">
        <f t="shared" si="36"/>
        <v/>
      </c>
      <c r="AD99" s="147" t="str">
        <f t="shared" si="37"/>
        <v/>
      </c>
      <c r="AE99" s="147" t="str">
        <f t="shared" si="38"/>
        <v/>
      </c>
      <c r="AF99" s="147" t="str">
        <f t="shared" si="39"/>
        <v/>
      </c>
      <c r="AG99" s="147" t="str">
        <f t="shared" si="40"/>
        <v/>
      </c>
      <c r="AH99" s="147" t="str">
        <f t="shared" si="41"/>
        <v/>
      </c>
      <c r="AI99" s="147" t="str">
        <f t="shared" si="42"/>
        <v/>
      </c>
      <c r="AJ99" s="147" t="str">
        <f t="shared" si="43"/>
        <v/>
      </c>
      <c r="AK99" s="147" t="str">
        <f t="shared" si="44"/>
        <v/>
      </c>
      <c r="AL99" s="147" t="str">
        <f t="shared" si="45"/>
        <v/>
      </c>
    </row>
    <row r="100" spans="1:38" ht="15" thickBot="1" x14ac:dyDescent="0.35">
      <c r="A100" s="197"/>
      <c r="C100" s="200"/>
      <c r="D100" s="201"/>
      <c r="E100" t="str">
        <f>_xlfn.IFNA(VLOOKUP(C100,'Te gebruiken meststoffen'!$R$3:$AC$10,12,FALSE),"")</f>
        <v/>
      </c>
      <c r="F100" s="52">
        <f t="shared" si="106"/>
        <v>0</v>
      </c>
      <c r="G100" s="52">
        <f t="shared" si="119"/>
        <v>0</v>
      </c>
      <c r="H100" s="52">
        <f t="shared" si="107"/>
        <v>0</v>
      </c>
      <c r="I100" s="52">
        <f t="shared" si="108"/>
        <v>0</v>
      </c>
      <c r="J100" s="52">
        <f t="shared" si="109"/>
        <v>0</v>
      </c>
      <c r="K100" s="52">
        <f t="shared" si="110"/>
        <v>0</v>
      </c>
      <c r="L100" s="52">
        <f t="shared" si="111"/>
        <v>0</v>
      </c>
      <c r="M100" s="53">
        <f t="shared" si="112"/>
        <v>0</v>
      </c>
      <c r="N100">
        <f t="shared" si="113"/>
        <v>0</v>
      </c>
      <c r="O100">
        <f t="shared" si="114"/>
        <v>0</v>
      </c>
      <c r="P100">
        <f t="shared" si="115"/>
        <v>0</v>
      </c>
      <c r="Q100" s="150">
        <f t="shared" si="116"/>
        <v>0</v>
      </c>
      <c r="R100" s="150">
        <f t="shared" si="117"/>
        <v>0</v>
      </c>
      <c r="S100">
        <f t="shared" si="118"/>
        <v>0</v>
      </c>
      <c r="T100" s="134" t="str">
        <f t="shared" si="120"/>
        <v/>
      </c>
      <c r="U100" s="131" t="str">
        <f t="shared" si="121"/>
        <v/>
      </c>
      <c r="V100" s="131" t="str">
        <f t="shared" si="122"/>
        <v/>
      </c>
      <c r="W100" s="135" t="str">
        <f t="shared" si="123"/>
        <v/>
      </c>
      <c r="Y100" s="147" t="str">
        <f t="shared" si="32"/>
        <v/>
      </c>
      <c r="Z100" s="147" t="str">
        <f t="shared" si="33"/>
        <v/>
      </c>
      <c r="AA100" s="147" t="str">
        <f t="shared" si="34"/>
        <v/>
      </c>
      <c r="AB100" s="147" t="str">
        <f t="shared" si="35"/>
        <v/>
      </c>
      <c r="AC100" s="147" t="str">
        <f t="shared" si="36"/>
        <v/>
      </c>
      <c r="AD100" s="147" t="str">
        <f t="shared" si="37"/>
        <v/>
      </c>
      <c r="AE100" s="147" t="str">
        <f t="shared" si="38"/>
        <v/>
      </c>
      <c r="AF100" s="147" t="str">
        <f t="shared" si="39"/>
        <v/>
      </c>
      <c r="AG100" s="147" t="str">
        <f t="shared" si="40"/>
        <v/>
      </c>
      <c r="AH100" s="147" t="str">
        <f t="shared" si="41"/>
        <v/>
      </c>
      <c r="AI100" s="147" t="str">
        <f t="shared" si="42"/>
        <v/>
      </c>
      <c r="AJ100" s="147" t="str">
        <f t="shared" si="43"/>
        <v/>
      </c>
      <c r="AK100" s="147" t="str">
        <f t="shared" si="44"/>
        <v/>
      </c>
      <c r="AL100" s="147" t="str">
        <f t="shared" si="45"/>
        <v/>
      </c>
    </row>
    <row r="101" spans="1:38" ht="15" thickBot="1" x14ac:dyDescent="0.35">
      <c r="C101" s="75"/>
      <c r="D101" s="76"/>
      <c r="E101" s="56" t="s">
        <v>508</v>
      </c>
      <c r="F101" s="79">
        <f t="shared" ref="F101:M101" si="124">SUM(F95:F100)</f>
        <v>0</v>
      </c>
      <c r="G101" s="79">
        <f>SUM(G94:G100)</f>
        <v>0</v>
      </c>
      <c r="H101" s="79">
        <f t="shared" si="124"/>
        <v>0</v>
      </c>
      <c r="I101" s="79">
        <f t="shared" si="124"/>
        <v>0</v>
      </c>
      <c r="J101" s="79">
        <f t="shared" si="124"/>
        <v>0</v>
      </c>
      <c r="K101" s="79">
        <f t="shared" si="124"/>
        <v>0</v>
      </c>
      <c r="L101" s="79">
        <f t="shared" si="124"/>
        <v>0</v>
      </c>
      <c r="M101" s="112">
        <f t="shared" si="124"/>
        <v>0</v>
      </c>
      <c r="N101" s="60">
        <f>SUM(O95:O100,P87:P92,Q79:Q84,R71:R76)</f>
        <v>0</v>
      </c>
      <c r="T101" s="138"/>
      <c r="U101" s="139"/>
      <c r="V101" s="139">
        <f>SUM(V95:V100)</f>
        <v>0</v>
      </c>
      <c r="W101" s="140">
        <f>SUM(W95:W100)</f>
        <v>0</v>
      </c>
      <c r="Y101" s="147"/>
      <c r="Z101" s="147"/>
      <c r="AA101" s="147"/>
      <c r="AB101" s="147"/>
      <c r="AC101" s="147"/>
      <c r="AD101" s="147"/>
      <c r="AE101" s="147"/>
      <c r="AF101" s="147"/>
      <c r="AG101" s="147"/>
      <c r="AH101" s="147"/>
      <c r="AI101" s="147"/>
      <c r="AJ101" s="147"/>
      <c r="AK101" s="147"/>
      <c r="AL101" s="147"/>
    </row>
    <row r="102" spans="1:38" ht="15" thickBot="1" x14ac:dyDescent="0.35">
      <c r="A102" s="128" t="s">
        <v>611</v>
      </c>
      <c r="C102" s="128" t="s">
        <v>503</v>
      </c>
      <c r="D102" s="76" t="s">
        <v>620</v>
      </c>
      <c r="E102" s="76"/>
      <c r="F102" s="76"/>
      <c r="G102" s="114">
        <f>N109-SUM(G103:G108)</f>
        <v>0</v>
      </c>
      <c r="H102" s="76"/>
      <c r="I102" s="76"/>
      <c r="J102" s="76"/>
      <c r="K102" s="76"/>
      <c r="L102" s="76"/>
      <c r="M102" s="77"/>
      <c r="S102">
        <f>SUM(S103:S108)</f>
        <v>0</v>
      </c>
      <c r="T102" s="75"/>
      <c r="U102" s="76"/>
      <c r="V102" s="76"/>
      <c r="W102" s="77"/>
      <c r="Y102" s="147"/>
      <c r="Z102" s="147"/>
      <c r="AA102" s="147"/>
      <c r="AB102" s="147"/>
      <c r="AC102" s="147"/>
      <c r="AD102" s="147"/>
      <c r="AE102" s="147"/>
      <c r="AF102" s="147"/>
      <c r="AG102" s="147"/>
      <c r="AH102" s="147"/>
      <c r="AI102" s="147"/>
      <c r="AJ102" s="147"/>
      <c r="AK102" s="147"/>
      <c r="AL102" s="147"/>
    </row>
    <row r="103" spans="1:38" x14ac:dyDescent="0.3">
      <c r="A103" s="195"/>
      <c r="C103" s="198"/>
      <c r="D103" s="199"/>
      <c r="E103" s="35" t="str">
        <f>_xlfn.IFNA(VLOOKUP(C103,'Te gebruiken meststoffen'!$R$3:$AC$10,12,FALSE),"")</f>
        <v/>
      </c>
      <c r="F103" s="50">
        <f t="shared" ref="F103:F108" si="125">D103*(IFERROR(VLOOKUP(C103,$C$45:$Q$58,3,FALSE),0))</f>
        <v>0</v>
      </c>
      <c r="G103" s="50">
        <f>O103</f>
        <v>0</v>
      </c>
      <c r="H103" s="50">
        <f t="shared" ref="H103:H108" si="126">D103*(IFERROR(VLOOKUP(C103,$C$45:$Q$58,5,FALSE),0))</f>
        <v>0</v>
      </c>
      <c r="I103" s="50">
        <f t="shared" ref="I103:I108" si="127">D103*(IFERROR(VLOOKUP(C103,$C$45:$Q$58,6,FALSE),0))</f>
        <v>0</v>
      </c>
      <c r="J103" s="50">
        <f t="shared" ref="J103:J108" si="128">D103*(IFERROR(VLOOKUP(C103,$C$45:$Q$58,7,FALSE),0))</f>
        <v>0</v>
      </c>
      <c r="K103" s="50">
        <f t="shared" ref="K103:K108" si="129">D103*(IFERROR(VLOOKUP(C103,$C$45:$Q$58,8,FALSE),0))</f>
        <v>0</v>
      </c>
      <c r="L103" s="50">
        <f t="shared" ref="L103:L108" si="130">D103*(IFERROR(VLOOKUP(C103,$C$45:$Q$58,9,FALSE),0))</f>
        <v>0</v>
      </c>
      <c r="M103" s="51">
        <f t="shared" ref="M103:M108" si="131">D103*(IFERROR(VLOOKUP(C103,$C$45:$Q$58,10,FALSE),0))</f>
        <v>0</v>
      </c>
      <c r="N103">
        <f>O103+P95+Q87+R79</f>
        <v>0</v>
      </c>
      <c r="O103">
        <f t="shared" ref="O103:O108" si="132">D103*(IFERROR(VLOOKUP(C103,$C$45:$Q$58,12,FALSE),0))</f>
        <v>0</v>
      </c>
      <c r="P103" s="150">
        <f t="shared" ref="P103:P108" si="133">D103*(IFERROR(VLOOKUP(C103,$C$45:$Q$58,13,FALSE),0))</f>
        <v>0</v>
      </c>
      <c r="Q103" s="150">
        <f t="shared" ref="Q103:Q108" si="134">D103*(IFERROR(VLOOKUP(C103,$C$45:$Q$58,14,FALSE),0))</f>
        <v>0</v>
      </c>
      <c r="R103" s="150">
        <f t="shared" ref="R103:R108" si="135">D103*(IFERROR(VLOOKUP(C103,$C$45:$Q$58,15,FALSE),0))</f>
        <v>0</v>
      </c>
      <c r="S103">
        <f t="shared" ref="S103:S108" si="136">IF(F103&gt;0,F103,G103)</f>
        <v>0</v>
      </c>
      <c r="T103" s="34" t="str">
        <f>IF(D103="","",D103*$D$9)</f>
        <v/>
      </c>
      <c r="U103" s="35" t="str">
        <f>IF(D103="","",E103)</f>
        <v/>
      </c>
      <c r="V103" s="35" t="str">
        <f>IF(D103="","",D103*(VLOOKUP(C103,$C$45:$M$58,11,FALSE)))</f>
        <v/>
      </c>
      <c r="W103" s="36" t="str">
        <f>IF(T103="","",T103*(VLOOKUP(C103,$C$45:$M$58,11,FALSE)))</f>
        <v/>
      </c>
      <c r="Y103" s="147" t="str">
        <f t="shared" si="32"/>
        <v/>
      </c>
      <c r="Z103" s="147" t="str">
        <f t="shared" si="33"/>
        <v/>
      </c>
      <c r="AA103" s="147" t="str">
        <f t="shared" si="34"/>
        <v/>
      </c>
      <c r="AB103" s="147" t="str">
        <f t="shared" si="35"/>
        <v/>
      </c>
      <c r="AC103" s="147" t="str">
        <f t="shared" si="36"/>
        <v/>
      </c>
      <c r="AD103" s="147" t="str">
        <f t="shared" si="37"/>
        <v/>
      </c>
      <c r="AE103" s="147" t="str">
        <f t="shared" si="38"/>
        <v/>
      </c>
      <c r="AF103" s="147" t="str">
        <f t="shared" si="39"/>
        <v/>
      </c>
      <c r="AG103" s="147" t="str">
        <f t="shared" si="40"/>
        <v/>
      </c>
      <c r="AH103" s="147" t="str">
        <f t="shared" si="41"/>
        <v/>
      </c>
      <c r="AI103" s="147" t="str">
        <f t="shared" si="42"/>
        <v/>
      </c>
      <c r="AJ103" s="147" t="str">
        <f t="shared" si="43"/>
        <v/>
      </c>
      <c r="AK103" s="147" t="str">
        <f t="shared" si="44"/>
        <v/>
      </c>
      <c r="AL103" s="147" t="str">
        <f t="shared" si="45"/>
        <v/>
      </c>
    </row>
    <row r="104" spans="1:38" x14ac:dyDescent="0.3">
      <c r="A104" s="196"/>
      <c r="C104" s="200"/>
      <c r="D104" s="201"/>
      <c r="E104" t="str">
        <f>_xlfn.IFNA(VLOOKUP(C104,'Te gebruiken meststoffen'!$R$3:$AC$10,12,FALSE),"")</f>
        <v/>
      </c>
      <c r="F104" s="52">
        <f t="shared" si="125"/>
        <v>0</v>
      </c>
      <c r="G104" s="52">
        <f t="shared" ref="G104:G108" si="137">O104</f>
        <v>0</v>
      </c>
      <c r="H104" s="52">
        <f t="shared" si="126"/>
        <v>0</v>
      </c>
      <c r="I104" s="52">
        <f t="shared" si="127"/>
        <v>0</v>
      </c>
      <c r="J104" s="52">
        <f t="shared" si="128"/>
        <v>0</v>
      </c>
      <c r="K104" s="52">
        <f t="shared" si="129"/>
        <v>0</v>
      </c>
      <c r="L104" s="52">
        <f t="shared" si="130"/>
        <v>0</v>
      </c>
      <c r="M104" s="53">
        <f t="shared" si="131"/>
        <v>0</v>
      </c>
      <c r="N104">
        <f>O104+P96+Q88+R80</f>
        <v>0</v>
      </c>
      <c r="O104">
        <f t="shared" si="132"/>
        <v>0</v>
      </c>
      <c r="P104" s="150">
        <f t="shared" si="133"/>
        <v>0</v>
      </c>
      <c r="Q104" s="150">
        <f t="shared" si="134"/>
        <v>0</v>
      </c>
      <c r="R104" s="150">
        <f t="shared" si="135"/>
        <v>0</v>
      </c>
      <c r="S104">
        <f t="shared" si="136"/>
        <v>0</v>
      </c>
      <c r="T104" s="40" t="str">
        <f t="shared" ref="T104:T108" si="138">IF(D104="","",D104*$D$9)</f>
        <v/>
      </c>
      <c r="U104" t="str">
        <f t="shared" ref="U104:U108" si="139">IF(D104="","",E104)</f>
        <v/>
      </c>
      <c r="V104" t="str">
        <f t="shared" ref="V104:V108" si="140">IF(D104="","",D104*(VLOOKUP(C104,$C$45:$M$58,11,FALSE)))</f>
        <v/>
      </c>
      <c r="W104" s="43" t="str">
        <f t="shared" ref="W104:W108" si="141">IF(T104="","",T104*(VLOOKUP(C104,$C$45:$M$58,11,FALSE)))</f>
        <v/>
      </c>
      <c r="Y104" s="147" t="str">
        <f t="shared" si="32"/>
        <v/>
      </c>
      <c r="Z104" s="147" t="str">
        <f t="shared" si="33"/>
        <v/>
      </c>
      <c r="AA104" s="147" t="str">
        <f t="shared" si="34"/>
        <v/>
      </c>
      <c r="AB104" s="147" t="str">
        <f t="shared" si="35"/>
        <v/>
      </c>
      <c r="AC104" s="147" t="str">
        <f t="shared" si="36"/>
        <v/>
      </c>
      <c r="AD104" s="147" t="str">
        <f t="shared" si="37"/>
        <v/>
      </c>
      <c r="AE104" s="147" t="str">
        <f t="shared" si="38"/>
        <v/>
      </c>
      <c r="AF104" s="147" t="str">
        <f t="shared" si="39"/>
        <v/>
      </c>
      <c r="AG104" s="147" t="str">
        <f t="shared" si="40"/>
        <v/>
      </c>
      <c r="AH104" s="147" t="str">
        <f t="shared" si="41"/>
        <v/>
      </c>
      <c r="AI104" s="147" t="str">
        <f t="shared" si="42"/>
        <v/>
      </c>
      <c r="AJ104" s="147" t="str">
        <f t="shared" si="43"/>
        <v/>
      </c>
      <c r="AK104" s="147" t="str">
        <f t="shared" si="44"/>
        <v/>
      </c>
      <c r="AL104" s="147" t="str">
        <f t="shared" si="45"/>
        <v/>
      </c>
    </row>
    <row r="105" spans="1:38" x14ac:dyDescent="0.3">
      <c r="A105" s="196"/>
      <c r="C105" s="200"/>
      <c r="D105" s="201"/>
      <c r="E105" t="str">
        <f>_xlfn.IFNA(VLOOKUP(C105,'Te gebruiken meststoffen'!$R$3:$AC$10,12,FALSE),"")</f>
        <v/>
      </c>
      <c r="F105" s="52">
        <f t="shared" si="125"/>
        <v>0</v>
      </c>
      <c r="G105" s="52">
        <f t="shared" si="137"/>
        <v>0</v>
      </c>
      <c r="H105" s="52">
        <f t="shared" si="126"/>
        <v>0</v>
      </c>
      <c r="I105" s="52">
        <f t="shared" si="127"/>
        <v>0</v>
      </c>
      <c r="J105" s="52">
        <f t="shared" si="128"/>
        <v>0</v>
      </c>
      <c r="K105" s="52">
        <f t="shared" si="129"/>
        <v>0</v>
      </c>
      <c r="L105" s="52">
        <f t="shared" si="130"/>
        <v>0</v>
      </c>
      <c r="M105" s="53">
        <f t="shared" si="131"/>
        <v>0</v>
      </c>
      <c r="N105">
        <f>O105+P97+Q89+R81</f>
        <v>0</v>
      </c>
      <c r="O105">
        <f t="shared" si="132"/>
        <v>0</v>
      </c>
      <c r="P105" s="150">
        <f t="shared" si="133"/>
        <v>0</v>
      </c>
      <c r="Q105" s="150">
        <f t="shared" si="134"/>
        <v>0</v>
      </c>
      <c r="R105" s="150">
        <f t="shared" si="135"/>
        <v>0</v>
      </c>
      <c r="S105">
        <f t="shared" si="136"/>
        <v>0</v>
      </c>
      <c r="T105" s="40" t="str">
        <f t="shared" si="138"/>
        <v/>
      </c>
      <c r="U105" t="str">
        <f t="shared" si="139"/>
        <v/>
      </c>
      <c r="V105" t="str">
        <f t="shared" si="140"/>
        <v/>
      </c>
      <c r="W105" s="43" t="str">
        <f t="shared" si="141"/>
        <v/>
      </c>
      <c r="Y105" s="147" t="str">
        <f t="shared" si="32"/>
        <v/>
      </c>
      <c r="Z105" s="147" t="str">
        <f t="shared" si="33"/>
        <v/>
      </c>
      <c r="AA105" s="147" t="str">
        <f t="shared" si="34"/>
        <v/>
      </c>
      <c r="AB105" s="147" t="str">
        <f t="shared" si="35"/>
        <v/>
      </c>
      <c r="AC105" s="147" t="str">
        <f t="shared" si="36"/>
        <v/>
      </c>
      <c r="AD105" s="147" t="str">
        <f t="shared" si="37"/>
        <v/>
      </c>
      <c r="AE105" s="147" t="str">
        <f t="shared" si="38"/>
        <v/>
      </c>
      <c r="AF105" s="147" t="str">
        <f t="shared" si="39"/>
        <v/>
      </c>
      <c r="AG105" s="147" t="str">
        <f t="shared" si="40"/>
        <v/>
      </c>
      <c r="AH105" s="147" t="str">
        <f t="shared" si="41"/>
        <v/>
      </c>
      <c r="AI105" s="147" t="str">
        <f t="shared" si="42"/>
        <v/>
      </c>
      <c r="AJ105" s="147" t="str">
        <f t="shared" si="43"/>
        <v/>
      </c>
      <c r="AK105" s="147" t="str">
        <f t="shared" si="44"/>
        <v/>
      </c>
      <c r="AL105" s="147" t="str">
        <f t="shared" si="45"/>
        <v/>
      </c>
    </row>
    <row r="106" spans="1:38" x14ac:dyDescent="0.3">
      <c r="A106" s="196"/>
      <c r="C106" s="200"/>
      <c r="D106" s="201"/>
      <c r="E106" t="str">
        <f>_xlfn.IFNA(VLOOKUP(C106,'Te gebruiken meststoffen'!$R$3:$AC$10,12,FALSE),"")</f>
        <v/>
      </c>
      <c r="F106" s="52">
        <f t="shared" si="125"/>
        <v>0</v>
      </c>
      <c r="G106" s="52">
        <f t="shared" si="137"/>
        <v>0</v>
      </c>
      <c r="H106" s="52">
        <f t="shared" si="126"/>
        <v>0</v>
      </c>
      <c r="I106" s="52">
        <f t="shared" si="127"/>
        <v>0</v>
      </c>
      <c r="J106" s="52">
        <f t="shared" si="128"/>
        <v>0</v>
      </c>
      <c r="K106" s="52">
        <f t="shared" si="129"/>
        <v>0</v>
      </c>
      <c r="L106" s="52">
        <f t="shared" si="130"/>
        <v>0</v>
      </c>
      <c r="M106" s="53">
        <f t="shared" si="131"/>
        <v>0</v>
      </c>
      <c r="N106">
        <f t="shared" ref="N106:N107" si="142">O106+P98+Q90+R82</f>
        <v>0</v>
      </c>
      <c r="O106">
        <f t="shared" si="132"/>
        <v>0</v>
      </c>
      <c r="P106" s="150">
        <f t="shared" si="133"/>
        <v>0</v>
      </c>
      <c r="Q106" s="150">
        <f t="shared" si="134"/>
        <v>0</v>
      </c>
      <c r="R106" s="150">
        <f t="shared" si="135"/>
        <v>0</v>
      </c>
      <c r="S106">
        <f t="shared" si="136"/>
        <v>0</v>
      </c>
      <c r="T106" s="40" t="str">
        <f t="shared" si="138"/>
        <v/>
      </c>
      <c r="U106" t="str">
        <f t="shared" si="139"/>
        <v/>
      </c>
      <c r="V106" t="str">
        <f t="shared" si="140"/>
        <v/>
      </c>
      <c r="W106" s="43" t="str">
        <f t="shared" si="141"/>
        <v/>
      </c>
      <c r="Y106" s="147" t="str">
        <f t="shared" si="32"/>
        <v/>
      </c>
      <c r="Z106" s="147" t="str">
        <f t="shared" si="33"/>
        <v/>
      </c>
      <c r="AA106" s="147" t="str">
        <f t="shared" si="34"/>
        <v/>
      </c>
      <c r="AB106" s="147" t="str">
        <f t="shared" si="35"/>
        <v/>
      </c>
      <c r="AC106" s="147" t="str">
        <f t="shared" si="36"/>
        <v/>
      </c>
      <c r="AD106" s="147" t="str">
        <f t="shared" si="37"/>
        <v/>
      </c>
      <c r="AE106" s="147" t="str">
        <f t="shared" si="38"/>
        <v/>
      </c>
      <c r="AF106" s="147" t="str">
        <f t="shared" si="39"/>
        <v/>
      </c>
      <c r="AG106" s="147" t="str">
        <f t="shared" si="40"/>
        <v/>
      </c>
      <c r="AH106" s="147" t="str">
        <f t="shared" si="41"/>
        <v/>
      </c>
      <c r="AI106" s="147" t="str">
        <f t="shared" si="42"/>
        <v/>
      </c>
      <c r="AJ106" s="147" t="str">
        <f t="shared" si="43"/>
        <v/>
      </c>
      <c r="AK106" s="147" t="str">
        <f t="shared" si="44"/>
        <v/>
      </c>
      <c r="AL106" s="147" t="str">
        <f t="shared" si="45"/>
        <v/>
      </c>
    </row>
    <row r="107" spans="1:38" x14ac:dyDescent="0.3">
      <c r="A107" s="196"/>
      <c r="C107" s="200"/>
      <c r="D107" s="201"/>
      <c r="E107" t="str">
        <f>_xlfn.IFNA(VLOOKUP(C107,'Te gebruiken meststoffen'!$R$3:$AC$10,12,FALSE),"")</f>
        <v/>
      </c>
      <c r="F107" s="52">
        <f t="shared" si="125"/>
        <v>0</v>
      </c>
      <c r="G107" s="52">
        <f t="shared" si="137"/>
        <v>0</v>
      </c>
      <c r="H107" s="52">
        <f t="shared" si="126"/>
        <v>0</v>
      </c>
      <c r="I107" s="52">
        <f t="shared" si="127"/>
        <v>0</v>
      </c>
      <c r="J107" s="52">
        <f t="shared" si="128"/>
        <v>0</v>
      </c>
      <c r="K107" s="52">
        <f t="shared" si="129"/>
        <v>0</v>
      </c>
      <c r="L107" s="52">
        <f t="shared" si="130"/>
        <v>0</v>
      </c>
      <c r="M107" s="53">
        <f t="shared" si="131"/>
        <v>0</v>
      </c>
      <c r="N107">
        <f t="shared" si="142"/>
        <v>0</v>
      </c>
      <c r="O107">
        <f t="shared" si="132"/>
        <v>0</v>
      </c>
      <c r="P107" s="150">
        <f t="shared" si="133"/>
        <v>0</v>
      </c>
      <c r="Q107" s="150">
        <f t="shared" si="134"/>
        <v>0</v>
      </c>
      <c r="R107" s="150">
        <f t="shared" si="135"/>
        <v>0</v>
      </c>
      <c r="S107">
        <f t="shared" si="136"/>
        <v>0</v>
      </c>
      <c r="T107" s="40" t="str">
        <f t="shared" si="138"/>
        <v/>
      </c>
      <c r="U107" t="str">
        <f t="shared" si="139"/>
        <v/>
      </c>
      <c r="V107" t="str">
        <f t="shared" si="140"/>
        <v/>
      </c>
      <c r="W107" s="43" t="str">
        <f t="shared" si="141"/>
        <v/>
      </c>
      <c r="Y107" s="147" t="str">
        <f t="shared" si="32"/>
        <v/>
      </c>
      <c r="Z107" s="147" t="str">
        <f t="shared" si="33"/>
        <v/>
      </c>
      <c r="AA107" s="147" t="str">
        <f t="shared" si="34"/>
        <v/>
      </c>
      <c r="AB107" s="147" t="str">
        <f t="shared" si="35"/>
        <v/>
      </c>
      <c r="AC107" s="147" t="str">
        <f t="shared" si="36"/>
        <v/>
      </c>
      <c r="AD107" s="147" t="str">
        <f t="shared" si="37"/>
        <v/>
      </c>
      <c r="AE107" s="147" t="str">
        <f t="shared" si="38"/>
        <v/>
      </c>
      <c r="AF107" s="147" t="str">
        <f t="shared" si="39"/>
        <v/>
      </c>
      <c r="AG107" s="147" t="str">
        <f t="shared" si="40"/>
        <v/>
      </c>
      <c r="AH107" s="147" t="str">
        <f t="shared" si="41"/>
        <v/>
      </c>
      <c r="AI107" s="147" t="str">
        <f t="shared" si="42"/>
        <v/>
      </c>
      <c r="AJ107" s="147" t="str">
        <f t="shared" si="43"/>
        <v/>
      </c>
      <c r="AK107" s="147" t="str">
        <f t="shared" si="44"/>
        <v/>
      </c>
      <c r="AL107" s="147" t="str">
        <f t="shared" si="45"/>
        <v/>
      </c>
    </row>
    <row r="108" spans="1:38" ht="15" thickBot="1" x14ac:dyDescent="0.35">
      <c r="A108" s="197"/>
      <c r="C108" s="200"/>
      <c r="D108" s="201"/>
      <c r="E108" t="str">
        <f>_xlfn.IFNA(VLOOKUP(C108,'Te gebruiken meststoffen'!$R$3:$AC$10,12,FALSE),"")</f>
        <v/>
      </c>
      <c r="F108" s="52">
        <f t="shared" si="125"/>
        <v>0</v>
      </c>
      <c r="G108" s="52">
        <f t="shared" si="137"/>
        <v>0</v>
      </c>
      <c r="H108" s="52">
        <f t="shared" si="126"/>
        <v>0</v>
      </c>
      <c r="I108" s="52">
        <f t="shared" si="127"/>
        <v>0</v>
      </c>
      <c r="J108" s="52">
        <f t="shared" si="128"/>
        <v>0</v>
      </c>
      <c r="K108" s="52">
        <f t="shared" si="129"/>
        <v>0</v>
      </c>
      <c r="L108" s="52">
        <f t="shared" si="130"/>
        <v>0</v>
      </c>
      <c r="M108" s="53">
        <f t="shared" si="131"/>
        <v>0</v>
      </c>
      <c r="N108">
        <f>O108+P100+Q92+R84</f>
        <v>0</v>
      </c>
      <c r="O108">
        <f t="shared" si="132"/>
        <v>0</v>
      </c>
      <c r="P108" s="150">
        <f t="shared" si="133"/>
        <v>0</v>
      </c>
      <c r="Q108" s="150">
        <f t="shared" si="134"/>
        <v>0</v>
      </c>
      <c r="R108" s="150">
        <f t="shared" si="135"/>
        <v>0</v>
      </c>
      <c r="S108">
        <f t="shared" si="136"/>
        <v>0</v>
      </c>
      <c r="T108" s="134" t="str">
        <f t="shared" si="138"/>
        <v/>
      </c>
      <c r="U108" s="131" t="str">
        <f t="shared" si="139"/>
        <v/>
      </c>
      <c r="V108" s="131" t="str">
        <f t="shared" si="140"/>
        <v/>
      </c>
      <c r="W108" s="135" t="str">
        <f t="shared" si="141"/>
        <v/>
      </c>
      <c r="Y108" s="147" t="str">
        <f t="shared" si="32"/>
        <v/>
      </c>
      <c r="Z108" s="147" t="str">
        <f t="shared" si="33"/>
        <v/>
      </c>
      <c r="AA108" s="147" t="str">
        <f t="shared" si="34"/>
        <v/>
      </c>
      <c r="AB108" s="147" t="str">
        <f t="shared" si="35"/>
        <v/>
      </c>
      <c r="AC108" s="147" t="str">
        <f t="shared" si="36"/>
        <v/>
      </c>
      <c r="AD108" s="147" t="str">
        <f t="shared" si="37"/>
        <v/>
      </c>
      <c r="AE108" s="147" t="str">
        <f t="shared" si="38"/>
        <v/>
      </c>
      <c r="AF108" s="147" t="str">
        <f t="shared" si="39"/>
        <v/>
      </c>
      <c r="AG108" s="147" t="str">
        <f t="shared" si="40"/>
        <v/>
      </c>
      <c r="AH108" s="147" t="str">
        <f t="shared" si="41"/>
        <v/>
      </c>
      <c r="AI108" s="147" t="str">
        <f t="shared" si="42"/>
        <v/>
      </c>
      <c r="AJ108" s="147" t="str">
        <f t="shared" si="43"/>
        <v/>
      </c>
      <c r="AK108" s="147" t="str">
        <f t="shared" si="44"/>
        <v/>
      </c>
      <c r="AL108" s="147" t="str">
        <f t="shared" si="45"/>
        <v/>
      </c>
    </row>
    <row r="109" spans="1:38" ht="15" thickBot="1" x14ac:dyDescent="0.35">
      <c r="C109" s="75"/>
      <c r="D109" s="76"/>
      <c r="E109" s="56" t="s">
        <v>509</v>
      </c>
      <c r="F109" s="56">
        <f t="shared" ref="F109:M109" si="143">SUM(F103:F108)</f>
        <v>0</v>
      </c>
      <c r="G109" s="79">
        <f>SUM(G102:G108)</f>
        <v>0</v>
      </c>
      <c r="H109" s="56">
        <f t="shared" si="143"/>
        <v>0</v>
      </c>
      <c r="I109" s="56">
        <f t="shared" si="143"/>
        <v>0</v>
      </c>
      <c r="J109" s="56">
        <f t="shared" si="143"/>
        <v>0</v>
      </c>
      <c r="K109" s="56">
        <f t="shared" si="143"/>
        <v>0</v>
      </c>
      <c r="L109" s="56">
        <f t="shared" si="143"/>
        <v>0</v>
      </c>
      <c r="M109" s="80">
        <f t="shared" si="143"/>
        <v>0</v>
      </c>
      <c r="N109" s="60">
        <f>SUM(O103:O108,P95:P100,Q87:Q92,R79:R84)</f>
        <v>0</v>
      </c>
      <c r="T109" s="138"/>
      <c r="U109" s="139"/>
      <c r="V109" s="139">
        <f>SUM(V103:V108)</f>
        <v>0</v>
      </c>
      <c r="W109" s="140">
        <f>SUM(W103:W108)</f>
        <v>0</v>
      </c>
      <c r="Y109" s="147">
        <f t="shared" ref="Y109:AL109" si="144">SUM(Y63:Y108)</f>
        <v>0</v>
      </c>
      <c r="Z109" s="147">
        <f t="shared" si="144"/>
        <v>0</v>
      </c>
      <c r="AA109" s="147">
        <f t="shared" si="144"/>
        <v>0</v>
      </c>
      <c r="AB109" s="147">
        <f t="shared" si="144"/>
        <v>0</v>
      </c>
      <c r="AC109" s="147">
        <f t="shared" si="144"/>
        <v>0</v>
      </c>
      <c r="AD109" s="147">
        <f t="shared" si="144"/>
        <v>0</v>
      </c>
      <c r="AE109" s="147">
        <f t="shared" si="144"/>
        <v>0</v>
      </c>
      <c r="AF109" s="147">
        <f t="shared" si="144"/>
        <v>0</v>
      </c>
      <c r="AG109" s="147">
        <f t="shared" si="144"/>
        <v>0</v>
      </c>
      <c r="AH109" s="147">
        <f t="shared" si="144"/>
        <v>0</v>
      </c>
      <c r="AI109" s="147">
        <f t="shared" si="144"/>
        <v>0</v>
      </c>
      <c r="AJ109" s="147">
        <f t="shared" si="144"/>
        <v>0</v>
      </c>
      <c r="AK109" s="147">
        <f t="shared" si="144"/>
        <v>0</v>
      </c>
      <c r="AL109" s="147">
        <f t="shared" si="144"/>
        <v>0</v>
      </c>
    </row>
    <row r="110" spans="1:38" ht="19.8" thickBot="1" x14ac:dyDescent="0.35">
      <c r="E110" s="136"/>
      <c r="F110" s="48" t="s">
        <v>470</v>
      </c>
      <c r="G110" s="48" t="s">
        <v>400</v>
      </c>
      <c r="H110" s="48" t="s">
        <v>414</v>
      </c>
      <c r="I110" s="48" t="s">
        <v>415</v>
      </c>
      <c r="J110" s="48" t="s">
        <v>416</v>
      </c>
      <c r="K110" s="48" t="s">
        <v>417</v>
      </c>
      <c r="L110" s="48" t="s">
        <v>418</v>
      </c>
      <c r="M110" s="57" t="s">
        <v>419</v>
      </c>
      <c r="N110" s="60"/>
      <c r="O110" t="s">
        <v>621</v>
      </c>
      <c r="S110" t="s">
        <v>609</v>
      </c>
      <c r="V110" s="142" t="s">
        <v>614</v>
      </c>
      <c r="W110" s="141" t="s">
        <v>616</v>
      </c>
    </row>
    <row r="111" spans="1:38" ht="15" thickBot="1" x14ac:dyDescent="0.35">
      <c r="E111" s="94" t="s">
        <v>518</v>
      </c>
      <c r="F111" s="145">
        <f>SUM(F69,F77,F85,F93,F101,F109)</f>
        <v>0</v>
      </c>
      <c r="G111" s="50">
        <f>SUM(G69,G77,G85,G93,G101,G109,O111)</f>
        <v>0</v>
      </c>
      <c r="H111" s="50">
        <f t="shared" ref="H111:M111" si="145">SUM(H69,H77,H85,H93,H101,H109)</f>
        <v>0</v>
      </c>
      <c r="I111" s="50">
        <f t="shared" si="145"/>
        <v>0</v>
      </c>
      <c r="J111" s="50">
        <f t="shared" si="145"/>
        <v>0</v>
      </c>
      <c r="K111" s="50">
        <f t="shared" si="145"/>
        <v>0</v>
      </c>
      <c r="L111" s="50">
        <f t="shared" si="145"/>
        <v>0</v>
      </c>
      <c r="M111" s="51">
        <f t="shared" si="145"/>
        <v>0</v>
      </c>
      <c r="O111" s="52">
        <f>SUM(P103:R108,Q95:R100,R87:R92)</f>
        <v>0</v>
      </c>
      <c r="S111">
        <f>SUM(S102,S94,S86,S78,S70,S69)</f>
        <v>0</v>
      </c>
      <c r="U111" s="115" t="s">
        <v>617</v>
      </c>
      <c r="V111" s="75">
        <f>SUM(V109,V101,V93,V85,V77,V69,)</f>
        <v>0</v>
      </c>
      <c r="W111" s="77">
        <f>SUM(W109,W101,W93,W85,W77,W69,)</f>
        <v>0</v>
      </c>
    </row>
    <row r="112" spans="1:38" hidden="1" x14ac:dyDescent="0.3">
      <c r="B112" t="s">
        <v>516</v>
      </c>
      <c r="E112" s="143" t="s">
        <v>520</v>
      </c>
      <c r="F112" s="40"/>
      <c r="G112" t="str">
        <f t="shared" ref="G112:M112" si="146">IF(D35="",D34,D35)</f>
        <v/>
      </c>
      <c r="H112" t="str">
        <f t="shared" si="146"/>
        <v/>
      </c>
      <c r="I112" t="str">
        <f t="shared" si="146"/>
        <v/>
      </c>
      <c r="J112" t="str">
        <f t="shared" si="146"/>
        <v/>
      </c>
      <c r="K112" t="str">
        <f t="shared" si="146"/>
        <v/>
      </c>
      <c r="L112" t="str">
        <f t="shared" si="146"/>
        <v/>
      </c>
      <c r="M112" s="43" t="str">
        <f t="shared" si="146"/>
        <v/>
      </c>
    </row>
    <row r="113" spans="1:19" hidden="1" x14ac:dyDescent="0.3">
      <c r="B113" t="s">
        <v>516</v>
      </c>
      <c r="E113" s="95" t="s">
        <v>519</v>
      </c>
      <c r="F113" s="40"/>
      <c r="G113" s="52" t="str">
        <f t="shared" ref="G113:J113" si="147">IF(G112=0,100,IF(G112="","",100*(G111/G112)))</f>
        <v/>
      </c>
      <c r="H113" s="52" t="str">
        <f t="shared" si="147"/>
        <v/>
      </c>
      <c r="I113" s="52" t="str">
        <f t="shared" si="147"/>
        <v/>
      </c>
      <c r="J113" s="52" t="str">
        <f t="shared" si="147"/>
        <v/>
      </c>
      <c r="K113" s="52" t="str">
        <f>IF(K112=0,100,IF(K112="","",100*(K111/K112)))</f>
        <v/>
      </c>
      <c r="L113" s="52" t="str">
        <f>IF(L112=0,100,IF(L112="","",100*(L111/L112)))</f>
        <v/>
      </c>
      <c r="M113" s="53" t="str">
        <f>IF(M112=0,100,IF(M112="","",100*(M111/M112)))</f>
        <v/>
      </c>
    </row>
    <row r="114" spans="1:19" hidden="1" x14ac:dyDescent="0.3">
      <c r="B114" t="s">
        <v>517</v>
      </c>
      <c r="E114" s="143" t="s">
        <v>529</v>
      </c>
      <c r="F114" s="40"/>
      <c r="G114" s="52">
        <f t="shared" ref="G114:M114" si="148">D31</f>
        <v>0</v>
      </c>
      <c r="H114" s="52">
        <f t="shared" si="148"/>
        <v>0</v>
      </c>
      <c r="I114" s="52">
        <f t="shared" si="148"/>
        <v>0</v>
      </c>
      <c r="J114" s="52">
        <f t="shared" si="148"/>
        <v>0</v>
      </c>
      <c r="K114" s="52">
        <f t="shared" si="148"/>
        <v>0</v>
      </c>
      <c r="L114" s="52">
        <f t="shared" si="148"/>
        <v>0</v>
      </c>
      <c r="M114" s="53">
        <f t="shared" si="148"/>
        <v>0</v>
      </c>
    </row>
    <row r="115" spans="1:19" hidden="1" x14ac:dyDescent="0.3">
      <c r="B115" t="s">
        <v>517</v>
      </c>
      <c r="E115" s="95" t="s">
        <v>519</v>
      </c>
      <c r="F115" s="40"/>
      <c r="G115" s="52">
        <f t="shared" ref="G115:J115" si="149">IF(G114=0,100,IF(G114="","",100*(G111/G114)))</f>
        <v>100</v>
      </c>
      <c r="H115" s="52">
        <f t="shared" si="149"/>
        <v>100</v>
      </c>
      <c r="I115" s="52">
        <f t="shared" si="149"/>
        <v>100</v>
      </c>
      <c r="J115" s="52">
        <f t="shared" si="149"/>
        <v>100</v>
      </c>
      <c r="K115" s="52">
        <f>IF(K114=0,100,IF(K114="","",100*(K111/K114)))</f>
        <v>100</v>
      </c>
      <c r="L115" s="52">
        <f t="shared" ref="L115:M115" si="150">IF(L114=0,100,IF(L114="","",100*(L111/L114)))</f>
        <v>100</v>
      </c>
      <c r="M115" s="53">
        <f t="shared" si="150"/>
        <v>100</v>
      </c>
    </row>
    <row r="116" spans="1:19" hidden="1" x14ac:dyDescent="0.3">
      <c r="E116" s="95"/>
      <c r="F116" s="40"/>
      <c r="G116" s="83">
        <v>100</v>
      </c>
      <c r="H116" s="83">
        <v>100</v>
      </c>
      <c r="I116" s="83">
        <v>100</v>
      </c>
      <c r="J116" s="83">
        <v>100</v>
      </c>
      <c r="K116" s="83">
        <v>100</v>
      </c>
      <c r="L116" s="83">
        <v>100</v>
      </c>
      <c r="M116" s="137">
        <v>100</v>
      </c>
    </row>
    <row r="117" spans="1:19" x14ac:dyDescent="0.3">
      <c r="B117" t="str" cm="1">
        <f t="array" ref="B117:M118">_xlfn._xlws.FILTER(B112:M115,B112:B115=C20)</f>
        <v>Per jaar</v>
      </c>
      <c r="C117">
        <v>0</v>
      </c>
      <c r="D117">
        <v>0</v>
      </c>
      <c r="E117" s="143" t="str">
        <v>ADVIES</v>
      </c>
      <c r="F117" s="40">
        <v>0</v>
      </c>
      <c r="G117" s="52" t="str">
        <v/>
      </c>
      <c r="H117" s="52" t="str">
        <v/>
      </c>
      <c r="I117" s="52" t="str">
        <v/>
      </c>
      <c r="J117" s="52" t="str">
        <v/>
      </c>
      <c r="K117" s="52" t="str">
        <v/>
      </c>
      <c r="L117" s="52" t="str">
        <v/>
      </c>
      <c r="M117" s="53" t="str">
        <v/>
      </c>
    </row>
    <row r="118" spans="1:19" ht="13.95" customHeight="1" thickBot="1" x14ac:dyDescent="0.35">
      <c r="B118" t="str">
        <v>Per jaar</v>
      </c>
      <c r="C118">
        <v>0</v>
      </c>
      <c r="D118">
        <v>0</v>
      </c>
      <c r="E118" s="96" t="str">
        <v>Percentage van advies bemest</v>
      </c>
      <c r="F118" s="37">
        <v>0</v>
      </c>
      <c r="G118" s="54" t="str">
        <v/>
      </c>
      <c r="H118" s="54" t="str">
        <v/>
      </c>
      <c r="I118" s="54" t="str">
        <v/>
      </c>
      <c r="J118" s="54" t="str">
        <v/>
      </c>
      <c r="K118" s="54" t="str">
        <v/>
      </c>
      <c r="L118" s="54" t="str">
        <v/>
      </c>
      <c r="M118" s="55" t="str">
        <v/>
      </c>
    </row>
    <row r="119" spans="1:19" hidden="1" x14ac:dyDescent="0.3">
      <c r="G119" s="127">
        <v>100</v>
      </c>
      <c r="H119" s="127">
        <v>100</v>
      </c>
      <c r="I119" s="127">
        <v>100</v>
      </c>
      <c r="J119" s="127">
        <v>100</v>
      </c>
      <c r="K119" s="127">
        <v>100</v>
      </c>
      <c r="L119" s="127">
        <v>100</v>
      </c>
      <c r="M119" s="127">
        <v>100</v>
      </c>
    </row>
    <row r="120" spans="1:19" x14ac:dyDescent="0.3">
      <c r="E120" s="42" t="str">
        <f>IF(_xlfn.CONCAT(E121:M124)="","","Waarschuwingen:")</f>
        <v/>
      </c>
      <c r="G120" s="151">
        <v>100</v>
      </c>
      <c r="H120" s="151">
        <v>100</v>
      </c>
      <c r="I120" s="151">
        <v>100</v>
      </c>
      <c r="J120" s="151">
        <v>100</v>
      </c>
      <c r="K120" s="151">
        <v>100</v>
      </c>
      <c r="L120" s="151">
        <v>100</v>
      </c>
      <c r="M120" s="151">
        <v>100</v>
      </c>
      <c r="N120" s="52">
        <v>100</v>
      </c>
      <c r="O120" s="52">
        <v>100</v>
      </c>
      <c r="P120" s="52">
        <v>100</v>
      </c>
      <c r="Q120" s="52">
        <v>100</v>
      </c>
      <c r="R120" s="52">
        <v>100</v>
      </c>
      <c r="S120" s="52">
        <v>100</v>
      </c>
    </row>
    <row r="121" spans="1:19" x14ac:dyDescent="0.3">
      <c r="E121" s="219" t="str">
        <f>IF(O111&gt;0,_xlfn.CONCAT("Er komt vermoedelijk nog ",O111," kg N vrij na het nemen van de laatste snede. Zet de meststof met langere vrijgave best wat eerder in voor een betere N-benutting en het verlagen van uitspoeling."),"")</f>
        <v/>
      </c>
      <c r="F121" s="219"/>
      <c r="G121" s="219"/>
      <c r="H121" s="219"/>
      <c r="I121" s="219"/>
      <c r="J121" s="219"/>
      <c r="K121" s="219"/>
      <c r="L121" s="219"/>
      <c r="M121" s="219"/>
      <c r="N121" s="52"/>
      <c r="O121" s="52"/>
      <c r="P121" s="52"/>
      <c r="Q121" s="52"/>
      <c r="R121" s="52"/>
      <c r="S121" s="52"/>
    </row>
    <row r="122" spans="1:19" ht="14.4" customHeight="1" x14ac:dyDescent="0.3">
      <c r="E122" s="212" t="str">
        <f>IF(F111&gt;C16,"Let op dat u niet teveel dierlijke stikstof op het grasland brengt! De norm is 170, maar op perceelsniveau kan tot maximaal 150% (255 kg Ndier) worden afgeweken, indien er op bedrijfsniveau wel aan de 170 wordt voldaan.","")</f>
        <v/>
      </c>
      <c r="F122" s="212"/>
      <c r="G122" s="212"/>
      <c r="H122" s="212"/>
      <c r="I122" s="212"/>
      <c r="J122" s="212"/>
      <c r="K122" s="212"/>
      <c r="L122" s="212"/>
      <c r="M122" s="212"/>
      <c r="N122" s="52"/>
      <c r="O122" s="52"/>
      <c r="P122" s="52"/>
      <c r="Q122" s="52"/>
      <c r="R122" s="52"/>
      <c r="S122" s="52"/>
    </row>
    <row r="123" spans="1:19" ht="15" customHeight="1" x14ac:dyDescent="0.3">
      <c r="E123" s="212" t="str">
        <f>IF(G111&gt;D16,_xlfn.CONCAT("Let op dat u niet teveel werkzame stikstof op het grasland brengt! De norm is ",D16,", maar op perceelsniveau kan tot maximaal 125% (",D16*1.25," kg Nwerkzaam) worden afgeweken, indien er op bedrijfsniveau wel aan de normen wordt voldaan."),"")</f>
        <v/>
      </c>
      <c r="F123" s="212"/>
      <c r="G123" s="212"/>
      <c r="H123" s="212"/>
      <c r="I123" s="212"/>
      <c r="J123" s="212"/>
      <c r="K123" s="212"/>
      <c r="L123" s="212"/>
      <c r="M123" s="212"/>
      <c r="N123" s="52"/>
      <c r="O123" s="52"/>
      <c r="P123" s="52"/>
      <c r="Q123" s="52"/>
      <c r="R123" s="52"/>
      <c r="S123" s="52"/>
    </row>
    <row r="124" spans="1:19" ht="16.8" customHeight="1" x14ac:dyDescent="0.3">
      <c r="E124" s="212" t="str">
        <f>IF(H111&gt;E16,_xlfn.CONCAT("Pas op u overschrijdt de fosfaatnorm van ",E16," kg ",E15," voor dit perceel."),"")</f>
        <v/>
      </c>
      <c r="F124" s="212"/>
      <c r="G124" s="212"/>
      <c r="H124" s="212"/>
      <c r="I124" s="212"/>
      <c r="J124" s="212"/>
      <c r="K124" s="212"/>
      <c r="L124" s="212"/>
      <c r="M124" s="212"/>
      <c r="N124" s="52"/>
      <c r="O124" s="52"/>
      <c r="P124" s="52"/>
      <c r="Q124" s="52"/>
      <c r="R124" s="52"/>
      <c r="S124" s="52"/>
    </row>
    <row r="125" spans="1:19" x14ac:dyDescent="0.3">
      <c r="A125" s="52"/>
      <c r="E125" s="4" t="s">
        <v>521</v>
      </c>
    </row>
    <row r="126" spans="1:19" x14ac:dyDescent="0.3">
      <c r="E126" t="s">
        <v>465</v>
      </c>
      <c r="G126" s="52" t="e">
        <f t="shared" ref="G126:M126" si="151">100*(G69/G111)</f>
        <v>#DIV/0!</v>
      </c>
      <c r="H126" s="52" t="e">
        <f t="shared" si="151"/>
        <v>#DIV/0!</v>
      </c>
      <c r="I126" s="52" t="e">
        <f t="shared" si="151"/>
        <v>#DIV/0!</v>
      </c>
      <c r="J126" s="52" t="e">
        <f t="shared" si="151"/>
        <v>#DIV/0!</v>
      </c>
      <c r="K126" s="52" t="e">
        <f t="shared" si="151"/>
        <v>#DIV/0!</v>
      </c>
      <c r="L126" s="52" t="e">
        <f t="shared" si="151"/>
        <v>#DIV/0!</v>
      </c>
      <c r="M126" s="52" t="e">
        <f t="shared" si="151"/>
        <v>#DIV/0!</v>
      </c>
    </row>
    <row r="127" spans="1:19" x14ac:dyDescent="0.3">
      <c r="E127" t="s">
        <v>499</v>
      </c>
      <c r="G127" s="52" t="e">
        <f t="shared" ref="G127:M127" si="152">100*(G77/G111)</f>
        <v>#DIV/0!</v>
      </c>
      <c r="H127" s="52" t="e">
        <f t="shared" si="152"/>
        <v>#DIV/0!</v>
      </c>
      <c r="I127" s="52" t="e">
        <f t="shared" si="152"/>
        <v>#DIV/0!</v>
      </c>
      <c r="J127" s="52" t="e">
        <f t="shared" si="152"/>
        <v>#DIV/0!</v>
      </c>
      <c r="K127" s="52" t="e">
        <f t="shared" si="152"/>
        <v>#DIV/0!</v>
      </c>
      <c r="L127" s="52" t="e">
        <f t="shared" si="152"/>
        <v>#DIV/0!</v>
      </c>
      <c r="M127" s="52" t="e">
        <f t="shared" si="152"/>
        <v>#DIV/0!</v>
      </c>
    </row>
    <row r="128" spans="1:19" x14ac:dyDescent="0.3">
      <c r="E128" t="s">
        <v>500</v>
      </c>
      <c r="G128" s="52" t="e">
        <f t="shared" ref="G128:M128" si="153">100*(G85/G111)</f>
        <v>#DIV/0!</v>
      </c>
      <c r="H128" s="52" t="e">
        <f t="shared" si="153"/>
        <v>#DIV/0!</v>
      </c>
      <c r="I128" s="52" t="e">
        <f t="shared" si="153"/>
        <v>#DIV/0!</v>
      </c>
      <c r="J128" s="52" t="e">
        <f t="shared" si="153"/>
        <v>#DIV/0!</v>
      </c>
      <c r="K128" s="52" t="e">
        <f t="shared" si="153"/>
        <v>#DIV/0!</v>
      </c>
      <c r="L128" s="52" t="e">
        <f t="shared" si="153"/>
        <v>#DIV/0!</v>
      </c>
      <c r="M128" s="52" t="e">
        <f t="shared" si="153"/>
        <v>#DIV/0!</v>
      </c>
    </row>
    <row r="129" spans="3:13" x14ac:dyDescent="0.3">
      <c r="E129" t="s">
        <v>501</v>
      </c>
      <c r="G129" s="52" t="e">
        <f t="shared" ref="G129:M129" si="154">100*(G93/G111)</f>
        <v>#DIV/0!</v>
      </c>
      <c r="H129" s="52" t="e">
        <f t="shared" si="154"/>
        <v>#DIV/0!</v>
      </c>
      <c r="I129" s="52" t="e">
        <f t="shared" si="154"/>
        <v>#DIV/0!</v>
      </c>
      <c r="J129" s="52" t="e">
        <f t="shared" si="154"/>
        <v>#DIV/0!</v>
      </c>
      <c r="K129" s="52" t="e">
        <f t="shared" si="154"/>
        <v>#DIV/0!</v>
      </c>
      <c r="L129" s="52" t="e">
        <f t="shared" si="154"/>
        <v>#DIV/0!</v>
      </c>
      <c r="M129" s="52" t="e">
        <f t="shared" si="154"/>
        <v>#DIV/0!</v>
      </c>
    </row>
    <row r="130" spans="3:13" x14ac:dyDescent="0.3">
      <c r="E130" t="s">
        <v>502</v>
      </c>
      <c r="G130" s="52" t="e">
        <f t="shared" ref="G130:M130" si="155">100*(G101/G111)</f>
        <v>#DIV/0!</v>
      </c>
      <c r="H130" s="52" t="e">
        <f t="shared" si="155"/>
        <v>#DIV/0!</v>
      </c>
      <c r="I130" s="52" t="e">
        <f t="shared" si="155"/>
        <v>#DIV/0!</v>
      </c>
      <c r="J130" s="52" t="e">
        <f t="shared" si="155"/>
        <v>#DIV/0!</v>
      </c>
      <c r="K130" s="52" t="e">
        <f t="shared" si="155"/>
        <v>#DIV/0!</v>
      </c>
      <c r="L130" s="52" t="e">
        <f t="shared" si="155"/>
        <v>#DIV/0!</v>
      </c>
      <c r="M130" s="52" t="e">
        <f t="shared" si="155"/>
        <v>#DIV/0!</v>
      </c>
    </row>
    <row r="131" spans="3:13" x14ac:dyDescent="0.3">
      <c r="E131" t="s">
        <v>503</v>
      </c>
      <c r="G131" s="52" t="e">
        <f>100*(G109/G111)</f>
        <v>#DIV/0!</v>
      </c>
      <c r="H131" s="52" t="e">
        <f t="shared" ref="H131:M131" si="156">100*(H109/H111)</f>
        <v>#DIV/0!</v>
      </c>
      <c r="I131" s="52" t="e">
        <f t="shared" si="156"/>
        <v>#DIV/0!</v>
      </c>
      <c r="J131" s="52" t="e">
        <f t="shared" si="156"/>
        <v>#DIV/0!</v>
      </c>
      <c r="K131" s="52" t="e">
        <f t="shared" si="156"/>
        <v>#DIV/0!</v>
      </c>
      <c r="L131" s="52" t="e">
        <f t="shared" si="156"/>
        <v>#DIV/0!</v>
      </c>
      <c r="M131" s="52" t="e">
        <f t="shared" si="156"/>
        <v>#DIV/0!</v>
      </c>
    </row>
    <row r="132" spans="3:13" x14ac:dyDescent="0.3">
      <c r="G132" s="52"/>
      <c r="H132" s="52"/>
      <c r="I132" s="52"/>
      <c r="J132" s="52"/>
      <c r="K132" s="52"/>
      <c r="L132" s="52"/>
      <c r="M132" s="52"/>
    </row>
    <row r="133" spans="3:13" x14ac:dyDescent="0.3">
      <c r="E133" s="4" t="s">
        <v>519</v>
      </c>
      <c r="G133" s="52"/>
      <c r="H133" s="52"/>
      <c r="I133" s="52"/>
      <c r="J133" s="52"/>
      <c r="K133" s="52"/>
      <c r="L133" s="52"/>
      <c r="M133" s="52"/>
    </row>
    <row r="134" spans="3:13" x14ac:dyDescent="0.3">
      <c r="E134" t="s">
        <v>465</v>
      </c>
      <c r="G134" s="52" t="str">
        <f t="shared" ref="G134:M134" si="157">IFERROR(100*(G69/D35),"")</f>
        <v/>
      </c>
      <c r="H134" s="52" t="str">
        <f t="shared" si="157"/>
        <v/>
      </c>
      <c r="I134" s="52" t="str">
        <f t="shared" si="157"/>
        <v/>
      </c>
      <c r="J134" s="52" t="str">
        <f t="shared" si="157"/>
        <v/>
      </c>
      <c r="K134" s="52" t="str">
        <f t="shared" si="157"/>
        <v/>
      </c>
      <c r="L134" s="52" t="str">
        <f t="shared" si="157"/>
        <v/>
      </c>
      <c r="M134" s="52" t="str">
        <f t="shared" si="157"/>
        <v/>
      </c>
    </row>
    <row r="135" spans="3:13" x14ac:dyDescent="0.3">
      <c r="E135" t="s">
        <v>499</v>
      </c>
      <c r="G135" s="52" t="str">
        <f t="shared" ref="G135:M135" si="158">IFERROR(100*(G77/D36),"")</f>
        <v/>
      </c>
      <c r="H135" s="52" t="str">
        <f t="shared" si="158"/>
        <v/>
      </c>
      <c r="I135" s="52" t="str">
        <f t="shared" si="158"/>
        <v/>
      </c>
      <c r="J135" s="52" t="str">
        <f t="shared" si="158"/>
        <v/>
      </c>
      <c r="K135" s="52" t="str">
        <f t="shared" si="158"/>
        <v/>
      </c>
      <c r="L135" s="52" t="str">
        <f t="shared" si="158"/>
        <v/>
      </c>
      <c r="M135" s="52" t="str">
        <f t="shared" si="158"/>
        <v/>
      </c>
    </row>
    <row r="136" spans="3:13" x14ac:dyDescent="0.3">
      <c r="E136" t="s">
        <v>531</v>
      </c>
      <c r="G136" s="152" t="str">
        <f t="shared" ref="G136:M136" si="159">IFERROR(100*((G69+G77)/(D35+D36)),"")</f>
        <v/>
      </c>
      <c r="H136" s="52" t="str">
        <f t="shared" si="159"/>
        <v/>
      </c>
      <c r="I136" s="52" t="str">
        <f t="shared" si="159"/>
        <v/>
      </c>
      <c r="J136" s="52" t="str">
        <f t="shared" si="159"/>
        <v/>
      </c>
      <c r="K136" s="52" t="str">
        <f t="shared" si="159"/>
        <v/>
      </c>
      <c r="L136" s="52" t="str">
        <f t="shared" si="159"/>
        <v/>
      </c>
      <c r="M136" s="52" t="str">
        <f t="shared" si="159"/>
        <v/>
      </c>
    </row>
    <row r="137" spans="3:13" x14ac:dyDescent="0.3">
      <c r="E137" t="s">
        <v>500</v>
      </c>
      <c r="G137" s="52" t="str">
        <f t="shared" ref="G137:M137" si="160">IFERROR(100*(G85/D37),"")</f>
        <v/>
      </c>
      <c r="H137" s="52" t="str">
        <f t="shared" si="160"/>
        <v/>
      </c>
      <c r="I137" s="52" t="str">
        <f t="shared" si="160"/>
        <v/>
      </c>
      <c r="J137" s="52" t="str">
        <f t="shared" si="160"/>
        <v/>
      </c>
      <c r="K137" s="52" t="str">
        <f t="shared" si="160"/>
        <v/>
      </c>
      <c r="L137" s="52" t="str">
        <f t="shared" si="160"/>
        <v/>
      </c>
      <c r="M137" s="52" t="str">
        <f t="shared" si="160"/>
        <v/>
      </c>
    </row>
    <row r="138" spans="3:13" x14ac:dyDescent="0.3">
      <c r="E138" t="s">
        <v>501</v>
      </c>
      <c r="G138" s="52" t="str">
        <f t="shared" ref="G138:M138" si="161">IFERROR(100*(G93/D38),"")</f>
        <v/>
      </c>
      <c r="H138" s="52" t="str">
        <f t="shared" si="161"/>
        <v/>
      </c>
      <c r="I138" s="52" t="str">
        <f t="shared" si="161"/>
        <v/>
      </c>
      <c r="J138" s="52" t="str">
        <f t="shared" si="161"/>
        <v/>
      </c>
      <c r="K138" s="52" t="str">
        <f t="shared" si="161"/>
        <v/>
      </c>
      <c r="L138" s="52" t="str">
        <f t="shared" si="161"/>
        <v/>
      </c>
      <c r="M138" s="52" t="str">
        <f t="shared" si="161"/>
        <v/>
      </c>
    </row>
    <row r="139" spans="3:13" x14ac:dyDescent="0.3">
      <c r="E139" t="s">
        <v>502</v>
      </c>
      <c r="G139" s="52" t="str">
        <f t="shared" ref="G139:M139" si="162">IFERROR(100*(G101/D39),"")</f>
        <v/>
      </c>
      <c r="H139" s="52" t="str">
        <f t="shared" si="162"/>
        <v/>
      </c>
      <c r="I139" s="52" t="str">
        <f t="shared" si="162"/>
        <v/>
      </c>
      <c r="J139" s="52" t="str">
        <f t="shared" si="162"/>
        <v/>
      </c>
      <c r="K139" s="52" t="str">
        <f t="shared" si="162"/>
        <v/>
      </c>
      <c r="L139" s="52" t="str">
        <f t="shared" si="162"/>
        <v/>
      </c>
      <c r="M139" s="52" t="str">
        <f t="shared" si="162"/>
        <v/>
      </c>
    </row>
    <row r="140" spans="3:13" x14ac:dyDescent="0.3">
      <c r="E140" t="s">
        <v>503</v>
      </c>
      <c r="G140" s="52" t="str">
        <f t="shared" ref="G140:M140" si="163">IFERROR(100*(G109/D40),"")</f>
        <v/>
      </c>
      <c r="H140" s="52" t="str">
        <f t="shared" si="163"/>
        <v/>
      </c>
      <c r="I140" s="52" t="str">
        <f t="shared" si="163"/>
        <v/>
      </c>
      <c r="J140" s="52" t="str">
        <f t="shared" si="163"/>
        <v/>
      </c>
      <c r="K140" s="52" t="str">
        <f t="shared" si="163"/>
        <v/>
      </c>
      <c r="L140" s="52" t="str">
        <f t="shared" si="163"/>
        <v/>
      </c>
      <c r="M140" s="52" t="str">
        <f t="shared" si="163"/>
        <v/>
      </c>
    </row>
    <row r="142" spans="3:13" ht="18" x14ac:dyDescent="0.35">
      <c r="C142" s="29" t="s">
        <v>633</v>
      </c>
    </row>
    <row r="144" spans="3:13" ht="15.6" x14ac:dyDescent="0.3">
      <c r="C144" s="33"/>
      <c r="D144" s="41" t="s">
        <v>600</v>
      </c>
      <c r="E144" s="41" t="s">
        <v>599</v>
      </c>
      <c r="F144" s="41" t="s">
        <v>604</v>
      </c>
      <c r="G144" s="4"/>
      <c r="H144" s="4"/>
    </row>
    <row r="145" spans="3:6" x14ac:dyDescent="0.3">
      <c r="C145" s="126" t="s">
        <v>601</v>
      </c>
      <c r="D145" s="204"/>
      <c r="E145" s="204"/>
      <c r="F145" s="86">
        <f>D145*E145/(1000*6.25)</f>
        <v>0</v>
      </c>
    </row>
    <row r="146" spans="3:6" x14ac:dyDescent="0.3">
      <c r="C146" s="126" t="s">
        <v>512</v>
      </c>
      <c r="D146" s="154"/>
      <c r="E146" s="154"/>
      <c r="F146" s="86">
        <f>D146*E146/(1000*6.25)</f>
        <v>0</v>
      </c>
    </row>
    <row r="147" spans="3:6" x14ac:dyDescent="0.3">
      <c r="C147" s="126" t="s">
        <v>513</v>
      </c>
      <c r="D147" s="205"/>
      <c r="E147" s="205"/>
      <c r="F147" s="86">
        <f>D147*E147/(1000*6.25)</f>
        <v>0</v>
      </c>
    </row>
    <row r="148" spans="3:6" x14ac:dyDescent="0.3">
      <c r="C148" s="126" t="s">
        <v>514</v>
      </c>
      <c r="D148" s="205"/>
      <c r="E148" s="205"/>
      <c r="F148" s="86">
        <f>D148*E148/(1000*6.25)</f>
        <v>0</v>
      </c>
    </row>
    <row r="149" spans="3:6" x14ac:dyDescent="0.3">
      <c r="C149" s="126" t="s">
        <v>602</v>
      </c>
      <c r="D149" s="205"/>
      <c r="E149" s="205"/>
      <c r="F149" s="86">
        <f t="shared" ref="F149:F150" si="164">D149*E149/(1000*6.25)</f>
        <v>0</v>
      </c>
    </row>
    <row r="150" spans="3:6" x14ac:dyDescent="0.3">
      <c r="C150" s="126" t="s">
        <v>603</v>
      </c>
      <c r="D150" s="205"/>
      <c r="E150" s="205"/>
      <c r="F150" s="86">
        <f t="shared" si="164"/>
        <v>0</v>
      </c>
    </row>
    <row r="151" spans="3:6" ht="15.6" x14ac:dyDescent="0.3">
      <c r="D151" s="41" t="s">
        <v>606</v>
      </c>
      <c r="E151" s="159" t="str">
        <f>IF(D10=6,(SUM(F145:F150)/G111)*100,IF(D10=5,(SUM(F145:F149)/G111)*100,IF(D10=4,(SUM(F145:F148)/G111)*100,IF(D10=3,(SUM(F145:F147)/G111)*100,IF(D10=2,(SUM(F145:F146)/G111)*100,IF(D10=1,(F145/G111)*100,"Error"))))))</f>
        <v>Error</v>
      </c>
      <c r="F151" s="160" t="s">
        <v>610</v>
      </c>
    </row>
    <row r="152" spans="3:6" ht="15.6" x14ac:dyDescent="0.3">
      <c r="D152" s="41" t="s">
        <v>607</v>
      </c>
      <c r="E152" s="159" t="str">
        <f>IF(D10=6,(SUM(F145:F150)/S111)*100,IF(D10=5,(SUM(F145:F149)/S111)*100,IF(D10=4,(SUM(F145:F148)/S111)*100,IF(D10=3,(SUM(F145:F147)/S111)*100,IF(D10=2,(SUM(F145:F146)/S111)*100,IF(D10=1,(F145/S111)*100,"Error"))))))</f>
        <v>Error</v>
      </c>
      <c r="F152" s="160" t="s">
        <v>610</v>
      </c>
    </row>
  </sheetData>
  <sheetProtection algorithmName="SHA-512" hashValue="4BfmzActYlbL1qxlnbKUTwlS6bVhD9hJXmg0AGLujDGhRcWvlmsUyQCWCLS4DGzF2NOHTyI18ZkOIHWIr8Jjsg==" saltValue="+N2SvwRjcPb6/8y+dWJ6kA==" spinCount="100000" sheet="1" objects="1" scenarios="1" selectLockedCells="1"/>
  <mergeCells count="8">
    <mergeCell ref="E124:M124"/>
    <mergeCell ref="N2:O2"/>
    <mergeCell ref="P2:R2"/>
    <mergeCell ref="U33:Z33"/>
    <mergeCell ref="N43:Q43"/>
    <mergeCell ref="E121:M121"/>
    <mergeCell ref="E122:M122"/>
    <mergeCell ref="E123:M123"/>
  </mergeCells>
  <conditionalFormatting sqref="A95:A100">
    <cfRule type="expression" dxfId="439" priority="13">
      <formula>$D$10&lt;5</formula>
    </cfRule>
  </conditionalFormatting>
  <conditionalFormatting sqref="A103:A108">
    <cfRule type="expression" dxfId="438" priority="14">
      <formula>$D$10&lt;6</formula>
    </cfRule>
  </conditionalFormatting>
  <conditionalFormatting sqref="A71:D76">
    <cfRule type="expression" dxfId="437" priority="10">
      <formula>$D$10&lt;2</formula>
    </cfRule>
  </conditionalFormatting>
  <conditionalFormatting sqref="A79:D84">
    <cfRule type="expression" dxfId="436" priority="11">
      <formula>$D$10&lt;3</formula>
    </cfRule>
  </conditionalFormatting>
  <conditionalFormatting sqref="A87:D92">
    <cfRule type="expression" dxfId="435" priority="12">
      <formula>$D$10&lt;4</formula>
    </cfRule>
  </conditionalFormatting>
  <conditionalFormatting sqref="C34:C41">
    <cfRule type="notContainsBlanks" dxfId="434" priority="105">
      <formula>LEN(TRIM(C34))&gt;0</formula>
    </cfRule>
  </conditionalFormatting>
  <conditionalFormatting sqref="C11:D11">
    <cfRule type="expression" dxfId="433" priority="87">
      <formula>$D$5="Maaien"</formula>
    </cfRule>
  </conditionalFormatting>
  <conditionalFormatting sqref="C95:D100">
    <cfRule type="expression" dxfId="432" priority="15">
      <formula>$D$10&lt;5</formula>
    </cfRule>
  </conditionalFormatting>
  <conditionalFormatting sqref="C103:D108">
    <cfRule type="expression" dxfId="431" priority="16">
      <formula>$D$10&lt;6</formula>
    </cfRule>
  </conditionalFormatting>
  <conditionalFormatting sqref="C117:F118">
    <cfRule type="cellIs" dxfId="430" priority="94" operator="equal">
      <formula>0</formula>
    </cfRule>
  </conditionalFormatting>
  <conditionalFormatting sqref="C145:F145">
    <cfRule type="expression" dxfId="429" priority="17">
      <formula>$D$10=1</formula>
    </cfRule>
  </conditionalFormatting>
  <conditionalFormatting sqref="C146:F146">
    <cfRule type="expression" dxfId="428" priority="18">
      <formula>$D$10&lt;2</formula>
    </cfRule>
    <cfRule type="expression" dxfId="427" priority="19">
      <formula>$D$10=2</formula>
    </cfRule>
  </conditionalFormatting>
  <conditionalFormatting sqref="C147:F147">
    <cfRule type="expression" dxfId="426" priority="20">
      <formula>$D$10&lt;3</formula>
    </cfRule>
    <cfRule type="expression" dxfId="425" priority="21">
      <formula>$D$10=3</formula>
    </cfRule>
  </conditionalFormatting>
  <conditionalFormatting sqref="C148:F148">
    <cfRule type="expression" dxfId="424" priority="22">
      <formula>$D$10&lt;4</formula>
    </cfRule>
    <cfRule type="expression" dxfId="423" priority="23">
      <formula>$D$10=4</formula>
    </cfRule>
  </conditionalFormatting>
  <conditionalFormatting sqref="C149:F149">
    <cfRule type="expression" dxfId="422" priority="25">
      <formula>$D$10=5</formula>
    </cfRule>
    <cfRule type="expression" dxfId="421" priority="24">
      <formula>$D$10&lt;5</formula>
    </cfRule>
  </conditionalFormatting>
  <conditionalFormatting sqref="C150:F150">
    <cfRule type="expression" dxfId="420" priority="26">
      <formula>$D$10&lt;6</formula>
    </cfRule>
  </conditionalFormatting>
  <conditionalFormatting sqref="C53:L53">
    <cfRule type="expression" dxfId="419" priority="61">
      <formula>$D$53="kg"</formula>
    </cfRule>
    <cfRule type="expression" dxfId="418" priority="53">
      <formula>$D$5="Maaien"</formula>
    </cfRule>
  </conditionalFormatting>
  <conditionalFormatting sqref="C53:L58 N53:Q58">
    <cfRule type="expression" dxfId="417" priority="54">
      <formula>$D$5="Maaien"</formula>
    </cfRule>
  </conditionalFormatting>
  <conditionalFormatting sqref="C54:L54">
    <cfRule type="expression" dxfId="416" priority="60">
      <formula>$D$54="kg"</formula>
    </cfRule>
  </conditionalFormatting>
  <conditionalFormatting sqref="C55:L55">
    <cfRule type="expression" dxfId="415" priority="59">
      <formula>$D$55="kg"</formula>
    </cfRule>
  </conditionalFormatting>
  <conditionalFormatting sqref="C56:L56">
    <cfRule type="expression" dxfId="414" priority="58">
      <formula>$D$56="kg"</formula>
    </cfRule>
  </conditionalFormatting>
  <conditionalFormatting sqref="C57:M57">
    <cfRule type="expression" dxfId="413" priority="57">
      <formula>$D$57="kg"</formula>
    </cfRule>
  </conditionalFormatting>
  <conditionalFormatting sqref="C58:M58">
    <cfRule type="expression" dxfId="412" priority="56">
      <formula>$D$58="kg"</formula>
    </cfRule>
  </conditionalFormatting>
  <conditionalFormatting sqref="D151:F151">
    <cfRule type="expression" dxfId="411" priority="9">
      <formula>$D$10&gt;0</formula>
    </cfRule>
  </conditionalFormatting>
  <conditionalFormatting sqref="D36:J36">
    <cfRule type="expression" dxfId="410" priority="62">
      <formula>$B$36=""</formula>
    </cfRule>
    <cfRule type="expression" dxfId="409" priority="71">
      <formula>$B$36="Per snede"</formula>
    </cfRule>
  </conditionalFormatting>
  <conditionalFormatting sqref="D37:J37">
    <cfRule type="expression" dxfId="408" priority="63">
      <formula>$B$37=""</formula>
    </cfRule>
    <cfRule type="expression" dxfId="407" priority="70">
      <formula>$B$37="Per snede"</formula>
    </cfRule>
  </conditionalFormatting>
  <conditionalFormatting sqref="D38:J38">
    <cfRule type="expression" dxfId="406" priority="69">
      <formula>$B$38="Per snede"</formula>
    </cfRule>
    <cfRule type="expression" dxfId="405" priority="64">
      <formula>$B$38=""</formula>
    </cfRule>
  </conditionalFormatting>
  <conditionalFormatting sqref="D39:J39">
    <cfRule type="expression" dxfId="404" priority="65">
      <formula>$B$39=""</formula>
    </cfRule>
    <cfRule type="expression" dxfId="403" priority="68">
      <formula>$B$39="Per snede"</formula>
    </cfRule>
  </conditionalFormatting>
  <conditionalFormatting sqref="D40:J40">
    <cfRule type="expression" dxfId="402" priority="67">
      <formula>$B$40="Per snede"</formula>
    </cfRule>
    <cfRule type="expression" dxfId="401" priority="66">
      <formula>$B$40=""</formula>
    </cfRule>
  </conditionalFormatting>
  <conditionalFormatting sqref="E120:E122">
    <cfRule type="cellIs" dxfId="400" priority="34" operator="equal">
      <formula>FALSE</formula>
    </cfRule>
  </conditionalFormatting>
  <conditionalFormatting sqref="E45:L52">
    <cfRule type="cellIs" dxfId="399" priority="104" operator="equal">
      <formula>0</formula>
    </cfRule>
  </conditionalFormatting>
  <conditionalFormatting sqref="F111">
    <cfRule type="cellIs" dxfId="398" priority="39" operator="between">
      <formula>170</formula>
      <formula>255</formula>
    </cfRule>
    <cfRule type="cellIs" dxfId="397" priority="38" operator="greaterThan">
      <formula>255</formula>
    </cfRule>
  </conditionalFormatting>
  <conditionalFormatting sqref="F63:M68 F71:M76 F79:M84 F87:M92 F95:M100 F103:M108">
    <cfRule type="cellIs" dxfId="396" priority="99" operator="equal">
      <formula>0</formula>
    </cfRule>
  </conditionalFormatting>
  <conditionalFormatting sqref="F111:M111 O111">
    <cfRule type="cellIs" dxfId="395" priority="100" operator="equal">
      <formula>0</formula>
    </cfRule>
  </conditionalFormatting>
  <conditionalFormatting sqref="G102">
    <cfRule type="cellIs" dxfId="394" priority="35" operator="equal">
      <formula>0</formula>
    </cfRule>
  </conditionalFormatting>
  <conditionalFormatting sqref="G111">
    <cfRule type="expression" dxfId="393" priority="7">
      <formula>$G$111&gt;$D$16*1.25</formula>
    </cfRule>
    <cfRule type="expression" dxfId="392" priority="37">
      <formula>$G$111&gt;$D$16</formula>
    </cfRule>
  </conditionalFormatting>
  <conditionalFormatting sqref="G2:M9">
    <cfRule type="expression" dxfId="391" priority="36">
      <formula>$D$5=""</formula>
    </cfRule>
  </conditionalFormatting>
  <conditionalFormatting sqref="G2:S9">
    <cfRule type="expression" dxfId="390" priority="79">
      <formula>$D$5="Maaien"</formula>
    </cfRule>
  </conditionalFormatting>
  <conditionalFormatting sqref="G3:S3">
    <cfRule type="expression" dxfId="389" priority="78">
      <formula>$D$5="Maaien + grazen"</formula>
    </cfRule>
  </conditionalFormatting>
  <conditionalFormatting sqref="G4:S4">
    <cfRule type="expression" dxfId="388" priority="77">
      <formula>$G$4=1</formula>
    </cfRule>
  </conditionalFormatting>
  <conditionalFormatting sqref="G4:S9">
    <cfRule type="expression" dxfId="387" priority="52">
      <formula>$D$5="Maaien"</formula>
    </cfRule>
  </conditionalFormatting>
  <conditionalFormatting sqref="G5:S5">
    <cfRule type="expression" dxfId="386" priority="76">
      <formula>$G$5=2</formula>
    </cfRule>
  </conditionalFormatting>
  <conditionalFormatting sqref="G6:S6">
    <cfRule type="expression" dxfId="385" priority="75">
      <formula>$G$6=3</formula>
    </cfRule>
  </conditionalFormatting>
  <conditionalFormatting sqref="G7:S7">
    <cfRule type="expression" dxfId="384" priority="74">
      <formula>$G$7=4</formula>
    </cfRule>
  </conditionalFormatting>
  <conditionalFormatting sqref="G8:S8">
    <cfRule type="expression" dxfId="383" priority="73">
      <formula>$G$8=5</formula>
    </cfRule>
  </conditionalFormatting>
  <conditionalFormatting sqref="G9:S9">
    <cfRule type="expression" dxfId="382" priority="72">
      <formula>$G$9=6</formula>
    </cfRule>
  </conditionalFormatting>
  <conditionalFormatting sqref="H4 J4:M4">
    <cfRule type="expression" dxfId="381" priority="88">
      <formula>$G$4=1</formula>
    </cfRule>
  </conditionalFormatting>
  <conditionalFormatting sqref="H5 J5:M5">
    <cfRule type="expression" dxfId="380" priority="93">
      <formula>$G$5=2</formula>
    </cfRule>
  </conditionalFormatting>
  <conditionalFormatting sqref="H6 J6:M6">
    <cfRule type="expression" dxfId="379" priority="92">
      <formula>$G$6=3</formula>
    </cfRule>
  </conditionalFormatting>
  <conditionalFormatting sqref="H7 J7:M7">
    <cfRule type="expression" dxfId="378" priority="91">
      <formula>$G$7=4</formula>
    </cfRule>
  </conditionalFormatting>
  <conditionalFormatting sqref="H8 J8:M8">
    <cfRule type="expression" dxfId="377" priority="90">
      <formula>$G$8=5</formula>
    </cfRule>
  </conditionalFormatting>
  <conditionalFormatting sqref="H9 J9:M9">
    <cfRule type="expression" dxfId="376" priority="89">
      <formula>$G$9=6</formula>
    </cfRule>
  </conditionalFormatting>
  <conditionalFormatting sqref="H111">
    <cfRule type="expression" dxfId="375" priority="8">
      <formula>$H$111&gt;$E$16</formula>
    </cfRule>
  </conditionalFormatting>
  <conditionalFormatting sqref="H4:S4">
    <cfRule type="expression" dxfId="374" priority="85">
      <formula>$G$4=""</formula>
    </cfRule>
  </conditionalFormatting>
  <conditionalFormatting sqref="H5:S5">
    <cfRule type="expression" dxfId="373" priority="80">
      <formula>$G$5=""</formula>
    </cfRule>
  </conditionalFormatting>
  <conditionalFormatting sqref="H6:S6">
    <cfRule type="expression" dxfId="372" priority="81">
      <formula>$G$6=""</formula>
    </cfRule>
  </conditionalFormatting>
  <conditionalFormatting sqref="H7:S7">
    <cfRule type="expression" dxfId="371" priority="82">
      <formula>$G$7=""</formula>
    </cfRule>
  </conditionalFormatting>
  <conditionalFormatting sqref="H8:S8">
    <cfRule type="expression" dxfId="370" priority="83">
      <formula>$G$8=""</formula>
    </cfRule>
  </conditionalFormatting>
  <conditionalFormatting sqref="H9:S9">
    <cfRule type="expression" dxfId="369" priority="84">
      <formula>$G$9=""</formula>
    </cfRule>
  </conditionalFormatting>
  <conditionalFormatting sqref="I4">
    <cfRule type="expression" dxfId="368" priority="1">
      <formula>$H$4="Melkkoeien"</formula>
    </cfRule>
  </conditionalFormatting>
  <conditionalFormatting sqref="I5">
    <cfRule type="expression" dxfId="367" priority="2">
      <formula>$H$5="Melkkoeien"</formula>
    </cfRule>
  </conditionalFormatting>
  <conditionalFormatting sqref="I6">
    <cfRule type="expression" dxfId="366" priority="3">
      <formula>$H$6="Melkkoeien"</formula>
    </cfRule>
  </conditionalFormatting>
  <conditionalFormatting sqref="I7">
    <cfRule type="expression" dxfId="365" priority="4">
      <formula>$H$7="Melkkoeien"</formula>
    </cfRule>
  </conditionalFormatting>
  <conditionalFormatting sqref="I8">
    <cfRule type="expression" dxfId="364" priority="5">
      <formula>$H$8="Melkkoeien"</formula>
    </cfRule>
  </conditionalFormatting>
  <conditionalFormatting sqref="I9">
    <cfRule type="expression" dxfId="363" priority="6">
      <formula>$H$9="Melkkoeien"</formula>
    </cfRule>
  </conditionalFormatting>
  <conditionalFormatting sqref="K5:L6">
    <cfRule type="expression" dxfId="362" priority="29">
      <formula>$G$4=""</formula>
    </cfRule>
  </conditionalFormatting>
  <conditionalFormatting sqref="M45:M55">
    <cfRule type="cellIs" dxfId="361" priority="50" operator="equal">
      <formula>0</formula>
    </cfRule>
  </conditionalFormatting>
  <conditionalFormatting sqref="M53">
    <cfRule type="expression" dxfId="360" priority="45">
      <formula>$C$53="Begrazingsnede 1"</formula>
    </cfRule>
  </conditionalFormatting>
  <conditionalFormatting sqref="M54">
    <cfRule type="expression" dxfId="359" priority="44">
      <formula>$C$54="Begrazingsnede 2"</formula>
    </cfRule>
  </conditionalFormatting>
  <conditionalFormatting sqref="M55">
    <cfRule type="expression" dxfId="358" priority="43">
      <formula>$C$55="Begrazingsnede 3"</formula>
    </cfRule>
  </conditionalFormatting>
  <conditionalFormatting sqref="M56">
    <cfRule type="expression" dxfId="357" priority="49">
      <formula>$D$56="kg"</formula>
    </cfRule>
    <cfRule type="expression" dxfId="356" priority="42">
      <formula>$C$56="Begrazingsnede 4"</formula>
    </cfRule>
  </conditionalFormatting>
  <conditionalFormatting sqref="M56:M58">
    <cfRule type="expression" dxfId="355" priority="46">
      <formula>$D$5="Maaien"</formula>
    </cfRule>
  </conditionalFormatting>
  <conditionalFormatting sqref="M57">
    <cfRule type="expression" dxfId="354" priority="41">
      <formula>$C$57="Begrazingsnede 5"</formula>
    </cfRule>
  </conditionalFormatting>
  <conditionalFormatting sqref="M58">
    <cfRule type="expression" dxfId="353" priority="40">
      <formula>$C$58="Begrazingsnede 6"</formula>
    </cfRule>
  </conditionalFormatting>
  <conditionalFormatting sqref="N45:Q52">
    <cfRule type="cellIs" dxfId="352" priority="86" operator="equal">
      <formula>0</formula>
    </cfRule>
  </conditionalFormatting>
  <dataValidations count="9">
    <dataValidation type="list" allowBlank="1" showInputMessage="1" showErrorMessage="1" sqref="I9" xr:uid="{42E0BA92-ABE8-4029-8B8A-B52330652CA9}">
      <formula1>INDIRECT($H$9)</formula1>
    </dataValidation>
    <dataValidation type="list" allowBlank="1" showInputMessage="1" showErrorMessage="1" sqref="I8" xr:uid="{E1D64304-B13E-4795-8A3F-B8269F0ED4CD}">
      <formula1>INDIRECT($H$8)</formula1>
    </dataValidation>
    <dataValidation type="list" allowBlank="1" showInputMessage="1" showErrorMessage="1" sqref="I7" xr:uid="{03FB2110-2415-45B8-A60A-ECC816E2269D}">
      <formula1>INDIRECT($H$7)</formula1>
    </dataValidation>
    <dataValidation type="list" allowBlank="1" showInputMessage="1" showErrorMessage="1" sqref="I6" xr:uid="{CAA7E672-18A7-4D04-B168-6E84ACD29D1C}">
      <formula1>INDIRECT($H$6)</formula1>
    </dataValidation>
    <dataValidation type="list" allowBlank="1" showInputMessage="1" showErrorMessage="1" sqref="I5" xr:uid="{C0498D66-9414-49F5-8B9B-CDC396AEACAB}">
      <formula1>INDIRECT($H$5)</formula1>
    </dataValidation>
    <dataValidation type="list" allowBlank="1" showInputMessage="1" showErrorMessage="1" sqref="I4" xr:uid="{29B72A54-1630-4F97-AC4B-F9C4E83C279C}">
      <formula1>INDIRECT($H$4)</formula1>
    </dataValidation>
    <dataValidation type="list" allowBlank="1" showInputMessage="1" showErrorMessage="1" sqref="H4:H9" xr:uid="{80B07ECD-19CF-4DAB-A488-0973AF52F589}">
      <formula1>Diercategorie</formula1>
    </dataValidation>
    <dataValidation type="list" allowBlank="1" showInputMessage="1" showErrorMessage="1" sqref="D7" xr:uid="{19663287-F061-4563-B526-4A8D4AB95793}">
      <formula1>"Ja,Nee"</formula1>
    </dataValidation>
    <dataValidation type="list" allowBlank="1" showInputMessage="1" showErrorMessage="1" sqref="C71:C76 C63:C68 C79:C84 C87:C92 C95:C100 C103:C108" xr:uid="{C2F2B28A-836A-41BC-8FCF-55EAA95591EE}">
      <formula1>$C$45:$C$58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8A348319-F448-497E-9883-7BC874B6A5A8}">
          <x14:formula1>
            <xm:f>'Lijsten en tabellen'!$AQ$3:$AQ$9</xm:f>
          </x14:formula1>
          <xm:sqref>D11</xm:sqref>
        </x14:dataValidation>
        <x14:dataValidation type="list" allowBlank="1" showInputMessage="1" showErrorMessage="1" xr:uid="{33679DF3-02B2-45FB-84FB-D4B725BEC883}">
          <x14:formula1>
            <xm:f>'Lijsten en tabellen'!$AO$3:$AO$8</xm:f>
          </x14:formula1>
          <xm:sqref>D10</xm:sqref>
        </x14:dataValidation>
        <x14:dataValidation type="list" allowBlank="1" showInputMessage="1" showErrorMessage="1" xr:uid="{4B9B48DA-DE8C-42F8-9DDE-76FCEC6D369F}">
          <x14:formula1>
            <xm:f>'Lijsten en tabellen'!$X$3:$X$23</xm:f>
          </x14:formula1>
          <xm:sqref>D4</xm:sqref>
        </x14:dataValidation>
        <x14:dataValidation type="list" allowBlank="1" showInputMessage="1" showErrorMessage="1" xr:uid="{6EFA3A47-1766-4219-8690-F475EA383450}">
          <x14:formula1>
            <xm:f>'Lijsten en tabellen'!$B$6:$B$7</xm:f>
          </x14:formula1>
          <xm:sqref>D5</xm:sqref>
        </x14:dataValidation>
        <x14:dataValidation type="list" allowBlank="1" showInputMessage="1" showErrorMessage="1" xr:uid="{25F521B9-217C-4652-9476-93D64DC8101A}">
          <x14:formula1>
            <xm:f>'Lijsten en tabellen'!$D$3:$K$3</xm:f>
          </x14:formula1>
          <xm:sqref>D6</xm:sqref>
        </x14:dataValidation>
        <x14:dataValidation type="list" allowBlank="1" showInputMessage="1" showErrorMessage="1" xr:uid="{3C4F7F73-AC4C-4575-B9A8-5FF95398F7DC}">
          <x14:formula1>
            <xm:f>'Lijsten en tabellen'!$D$4:$K$4</xm:f>
          </x14:formula1>
          <xm:sqref>D3</xm:sqref>
        </x14:dataValidation>
        <x14:dataValidation type="list" allowBlank="1" showInputMessage="1" showErrorMessage="1" xr:uid="{87555AB6-2B17-4D1D-8885-7C26AFE72011}">
          <x14:formula1>
            <xm:f>'Lijsten en tabellen'!$S$3:$V$3</xm:f>
          </x14:formula1>
          <xm:sqref>D8</xm:sqref>
        </x14:dataValidation>
        <x14:dataValidation type="list" allowBlank="1" showInputMessage="1" showErrorMessage="1" xr:uid="{29C6927B-CB20-4BEB-8143-38F1C434EA94}">
          <x14:formula1>
            <xm:f>'Lijsten en tabellen'!$AP$3:$AP$4</xm:f>
          </x14:formula1>
          <xm:sqref>C20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72E2-B69D-4853-9462-0A875A423DCE}">
  <dimension ref="A1:AL152"/>
  <sheetViews>
    <sheetView zoomScale="60" zoomScaleNormal="60" workbookViewId="0">
      <selection activeCell="D2" sqref="D2"/>
    </sheetView>
  </sheetViews>
  <sheetFormatPr defaultRowHeight="14.4" x14ac:dyDescent="0.3"/>
  <cols>
    <col min="1" max="1" width="17.5546875" customWidth="1"/>
    <col min="2" max="2" width="11.5546875" hidden="1" customWidth="1"/>
    <col min="3" max="3" width="27.33203125" customWidth="1"/>
    <col min="4" max="5" width="26.5546875" customWidth="1"/>
    <col min="6" max="6" width="19.44140625" customWidth="1"/>
    <col min="7" max="7" width="22.33203125" customWidth="1"/>
    <col min="8" max="8" width="23.21875" customWidth="1"/>
    <col min="9" max="9" width="23.33203125" customWidth="1"/>
    <col min="10" max="10" width="21.21875" customWidth="1"/>
    <col min="11" max="12" width="19.6640625" customWidth="1"/>
    <col min="13" max="13" width="20" customWidth="1"/>
    <col min="14" max="14" width="18.33203125" hidden="1" customWidth="1"/>
    <col min="15" max="15" width="19.33203125" hidden="1" customWidth="1"/>
    <col min="16" max="16" width="14" hidden="1" customWidth="1"/>
    <col min="17" max="17" width="13.109375" hidden="1" customWidth="1"/>
    <col min="18" max="19" width="14" hidden="1" customWidth="1"/>
    <col min="20" max="20" width="18.6640625" customWidth="1"/>
    <col min="21" max="21" width="27.21875" customWidth="1"/>
    <col min="22" max="22" width="35.44140625" customWidth="1"/>
    <col min="23" max="23" width="31.5546875" customWidth="1"/>
    <col min="24" max="24" width="31.33203125" customWidth="1"/>
    <col min="25" max="25" width="45.44140625" customWidth="1"/>
    <col min="26" max="26" width="20.6640625" customWidth="1"/>
    <col min="28" max="28" width="8.88671875" customWidth="1"/>
  </cols>
  <sheetData>
    <row r="1" spans="2:19" ht="18.600000000000001" thickBot="1" x14ac:dyDescent="0.4">
      <c r="C1" s="29" t="s">
        <v>441</v>
      </c>
      <c r="L1" s="42"/>
    </row>
    <row r="2" spans="2:19" ht="18" x14ac:dyDescent="0.35">
      <c r="C2" s="100" t="s">
        <v>440</v>
      </c>
      <c r="D2" s="185"/>
      <c r="E2" s="147"/>
      <c r="G2" s="29" t="s">
        <v>548</v>
      </c>
      <c r="N2" s="213" t="s">
        <v>593</v>
      </c>
      <c r="O2" s="213"/>
      <c r="P2" s="213" t="s">
        <v>553</v>
      </c>
      <c r="Q2" s="213"/>
      <c r="R2" s="213"/>
      <c r="S2" s="124"/>
    </row>
    <row r="3" spans="2:19" x14ac:dyDescent="0.3">
      <c r="C3" s="101" t="s">
        <v>406</v>
      </c>
      <c r="D3" s="186"/>
      <c r="E3" s="147"/>
      <c r="G3" s="84" t="s">
        <v>549</v>
      </c>
      <c r="H3" s="84" t="s">
        <v>555</v>
      </c>
      <c r="I3" s="84" t="s">
        <v>557</v>
      </c>
      <c r="J3" s="84" t="s">
        <v>550</v>
      </c>
      <c r="K3" s="84" t="s">
        <v>551</v>
      </c>
      <c r="L3" s="84" t="s">
        <v>552</v>
      </c>
      <c r="M3" s="84" t="s">
        <v>596</v>
      </c>
      <c r="N3" s="84" t="s">
        <v>471</v>
      </c>
      <c r="O3" s="84" t="s">
        <v>511</v>
      </c>
      <c r="P3" s="84" t="s">
        <v>471</v>
      </c>
      <c r="Q3" s="84" t="s">
        <v>472</v>
      </c>
      <c r="R3" s="84" t="s">
        <v>511</v>
      </c>
      <c r="S3" s="84"/>
    </row>
    <row r="4" spans="2:19" x14ac:dyDescent="0.3">
      <c r="B4" s="32" t="str">
        <f>IF(D4="Graskruiden mengsel","Ja","Nee")</f>
        <v>Nee</v>
      </c>
      <c r="C4" s="101" t="s">
        <v>403</v>
      </c>
      <c r="D4" s="186"/>
      <c r="E4" s="148" t="e">
        <f>VLOOKUP(D4,'Lijsten en tabellen'!X2:Z23,3,FALSE)</f>
        <v>#N/A</v>
      </c>
      <c r="F4" s="32"/>
      <c r="G4" t="str">
        <f>IFERROR(IF($D$11&gt;0,1,""),"")</f>
        <v/>
      </c>
      <c r="H4" s="189"/>
      <c r="I4" s="189"/>
      <c r="J4" s="189"/>
      <c r="K4" s="190"/>
      <c r="L4" s="190"/>
      <c r="M4" s="189"/>
      <c r="N4" t="str">
        <f>IFERROR(IF( H4="Melkkoeien", VLOOKUP(_xlfn.CONCAT(H4,I4),'Lijsten en tabellen'!$AK$3:$AM$35,3,FALSE),VLOOKUP(H4,'Lijsten en tabellen'!$AK$2:$AM$35,3,FALSE)),"")</f>
        <v/>
      </c>
      <c r="O4" t="str">
        <f>IFERROR(IF( H4="Melkkoeien", VLOOKUP(_xlfn.CONCAT(H4,I4),'Lijsten en tabellen'!$AK$3:$AM$35,2,FALSE),VLOOKUP(H4,'Lijsten en tabellen'!$AK$2:$AM$35,2,FALSE)),"")</f>
        <v/>
      </c>
      <c r="P4" s="78" t="str">
        <f t="shared" ref="P4:P9" si="0">IFERROR(J4*(L4-K4)*(M4/24)*(N4/365),"")</f>
        <v/>
      </c>
      <c r="Q4" s="78" t="str">
        <f>IFERROR(P4*0.2,"")</f>
        <v/>
      </c>
      <c r="R4" s="78" t="str">
        <f t="shared" ref="R4:R9" si="1">IFERROR(J4*(L4-K4)*(M4/24)*(O4/365),"")</f>
        <v/>
      </c>
      <c r="S4" s="78"/>
    </row>
    <row r="5" spans="2:19" x14ac:dyDescent="0.3">
      <c r="C5" s="101" t="s">
        <v>404</v>
      </c>
      <c r="D5" s="186"/>
      <c r="E5" s="148" t="e">
        <f>VLOOKUP(D4,'Lijsten en tabellen'!X2:AA23,4,FALSE)</f>
        <v>#N/A</v>
      </c>
      <c r="G5" t="str">
        <f>IFERROR(IF($D$11&gt;1,2,""),"")</f>
        <v/>
      </c>
      <c r="H5" s="189"/>
      <c r="I5" s="189"/>
      <c r="J5" s="189"/>
      <c r="K5" s="190"/>
      <c r="L5" s="190"/>
      <c r="M5" s="189"/>
      <c r="N5" t="str">
        <f>IFERROR(IF( H5="Melkkoeien", VLOOKUP(_xlfn.CONCAT(H5,I5),'Lijsten en tabellen'!$AK$3:$AM$35,3,FALSE),VLOOKUP(H5,'Lijsten en tabellen'!$AK$2:$AM$35,3,FALSE)),"")</f>
        <v/>
      </c>
      <c r="O5" t="str">
        <f>IFERROR(IF( H5="Melkkoeien", VLOOKUP(_xlfn.CONCAT(H5,I5),'Lijsten en tabellen'!$AK$3:$AM$35,2,FALSE),VLOOKUP(H5,'Lijsten en tabellen'!$AK$2:$AM$35,2,FALSE)),"")</f>
        <v/>
      </c>
      <c r="P5" s="78" t="str">
        <f t="shared" si="0"/>
        <v/>
      </c>
      <c r="Q5" s="78" t="str">
        <f t="shared" ref="Q5:Q9" si="2">IFERROR(P5*0.2,"")</f>
        <v/>
      </c>
      <c r="R5" s="78" t="str">
        <f t="shared" si="1"/>
        <v/>
      </c>
      <c r="S5" s="78"/>
    </row>
    <row r="6" spans="2:19" x14ac:dyDescent="0.3">
      <c r="C6" s="101" t="s">
        <v>405</v>
      </c>
      <c r="D6" s="187"/>
      <c r="E6" s="148" t="e">
        <f>_xlfn.CONCAT(D6,D3,D5,E4)</f>
        <v>#N/A</v>
      </c>
      <c r="G6" t="str">
        <f>IFERROR(IF($D$11&gt;2,3,""),"")</f>
        <v/>
      </c>
      <c r="H6" s="189"/>
      <c r="I6" s="189"/>
      <c r="J6" s="189"/>
      <c r="K6" s="189"/>
      <c r="L6" s="189"/>
      <c r="M6" s="189"/>
      <c r="N6" t="str">
        <f>IFERROR(IF( H6="Melkkoeien", VLOOKUP(_xlfn.CONCAT(H6,I6),'Lijsten en tabellen'!$AK$3:$AM$35,3,FALSE),VLOOKUP(H6,'Lijsten en tabellen'!$AK$2:$AM$35,3,FALSE)),"")</f>
        <v/>
      </c>
      <c r="O6" t="str">
        <f>IFERROR(IF( H6="Melkkoeien", VLOOKUP(_xlfn.CONCAT(H6,I6),'Lijsten en tabellen'!$AK$3:$AM$35,2,FALSE),VLOOKUP(H6,'Lijsten en tabellen'!$AK$2:$AM$35,2,FALSE)),"")</f>
        <v/>
      </c>
      <c r="P6" s="78" t="str">
        <f t="shared" si="0"/>
        <v/>
      </c>
      <c r="Q6" s="78" t="str">
        <f t="shared" si="2"/>
        <v/>
      </c>
      <c r="R6" s="78" t="str">
        <f t="shared" si="1"/>
        <v/>
      </c>
      <c r="S6" s="78"/>
    </row>
    <row r="7" spans="2:19" ht="28.8" x14ac:dyDescent="0.3">
      <c r="C7" s="102" t="s">
        <v>635</v>
      </c>
      <c r="D7" s="187"/>
      <c r="E7" s="147"/>
      <c r="G7" t="str">
        <f>IFERROR(IF($D$11&gt;3,4,""),"")</f>
        <v/>
      </c>
      <c r="H7" s="189"/>
      <c r="I7" s="189"/>
      <c r="J7" s="189"/>
      <c r="K7" s="190"/>
      <c r="L7" s="190"/>
      <c r="M7" s="189"/>
      <c r="N7" t="str">
        <f>IFERROR(IF( H7="Melkkoeien", VLOOKUP(_xlfn.CONCAT(H7,I7),'Lijsten en tabellen'!$AK$3:$AM$35,3,FALSE),VLOOKUP(H7,'Lijsten en tabellen'!$AK$2:$AM$35,3,FALSE)),"")</f>
        <v/>
      </c>
      <c r="O7" t="str">
        <f>IFERROR(IF( H7="Melkkoeien", VLOOKUP(_xlfn.CONCAT(H7,I7),'Lijsten en tabellen'!$AK$3:$AM$35,2,FALSE),VLOOKUP(H7,'Lijsten en tabellen'!$AK$2:$AM$35,2,FALSE)),"")</f>
        <v/>
      </c>
      <c r="P7" s="78" t="str">
        <f t="shared" si="0"/>
        <v/>
      </c>
      <c r="Q7" s="78" t="str">
        <f t="shared" si="2"/>
        <v/>
      </c>
      <c r="R7" s="78" t="str">
        <f t="shared" si="1"/>
        <v/>
      </c>
      <c r="S7" s="78"/>
    </row>
    <row r="8" spans="2:19" x14ac:dyDescent="0.3">
      <c r="C8" s="101" t="s">
        <v>408</v>
      </c>
      <c r="D8" s="186"/>
      <c r="E8" s="147"/>
      <c r="G8" t="str">
        <f>IFERROR(IF($D$11&gt;4,5,""),"")</f>
        <v/>
      </c>
      <c r="H8" s="189"/>
      <c r="I8" s="189"/>
      <c r="J8" s="189"/>
      <c r="K8" s="190"/>
      <c r="L8" s="190"/>
      <c r="M8" s="189"/>
      <c r="N8" t="str">
        <f>IFERROR(IF( H8="Melkkoeien", VLOOKUP(_xlfn.CONCAT(H8,I8),'Lijsten en tabellen'!$AK$3:$AM$35,3,FALSE),VLOOKUP(H8,'Lijsten en tabellen'!$AK$2:$AM$35,3,FALSE)),"")</f>
        <v/>
      </c>
      <c r="O8" t="str">
        <f>IFERROR(IF( H8="Melkkoeien", VLOOKUP(_xlfn.CONCAT(H8,I8),'Lijsten en tabellen'!$AK$3:$AM$35,2,FALSE),VLOOKUP(H8,'Lijsten en tabellen'!$AK$2:$AM$35,2,FALSE)),"")</f>
        <v/>
      </c>
      <c r="P8" s="78" t="str">
        <f t="shared" si="0"/>
        <v/>
      </c>
      <c r="Q8" s="78" t="str">
        <f t="shared" si="2"/>
        <v/>
      </c>
      <c r="R8" s="78" t="str">
        <f t="shared" si="1"/>
        <v/>
      </c>
      <c r="S8" s="78"/>
    </row>
    <row r="9" spans="2:19" x14ac:dyDescent="0.3">
      <c r="C9" s="101" t="s">
        <v>439</v>
      </c>
      <c r="D9" s="186"/>
      <c r="E9" s="147"/>
      <c r="G9" t="str">
        <f>IFERROR(IF($D$11&gt;5,6,""),"")</f>
        <v/>
      </c>
      <c r="H9" s="189"/>
      <c r="I9" s="189"/>
      <c r="J9" s="189"/>
      <c r="K9" s="190"/>
      <c r="L9" s="190"/>
      <c r="M9" s="189"/>
      <c r="N9" t="str">
        <f>IFERROR(IF( H9="Melkkoeien", VLOOKUP(_xlfn.CONCAT(H9,I9),'Lijsten en tabellen'!$AK$3:$AM$35,3,FALSE),VLOOKUP(H9,'Lijsten en tabellen'!$AK$2:$AM$35,3,FALSE)),"")</f>
        <v/>
      </c>
      <c r="O9" t="str">
        <f>IFERROR(IF( H9="Melkkoeien", VLOOKUP(_xlfn.CONCAT(H9,I9),'Lijsten en tabellen'!$AK$3:$AM$35,2,FALSE),VLOOKUP(H9,'Lijsten en tabellen'!$AK$2:$AM$35,2,FALSE)),"")</f>
        <v/>
      </c>
      <c r="P9" s="78" t="str">
        <f t="shared" si="0"/>
        <v/>
      </c>
      <c r="Q9" s="78" t="str">
        <f t="shared" si="2"/>
        <v/>
      </c>
      <c r="R9" s="78" t="str">
        <f t="shared" si="1"/>
        <v/>
      </c>
      <c r="S9" s="78"/>
    </row>
    <row r="10" spans="2:19" x14ac:dyDescent="0.3">
      <c r="C10" s="101" t="s">
        <v>595</v>
      </c>
      <c r="D10" s="186"/>
      <c r="E10" s="147"/>
      <c r="G10" s="42"/>
    </row>
    <row r="11" spans="2:19" ht="15" thickBot="1" x14ac:dyDescent="0.35">
      <c r="C11" s="103" t="s">
        <v>597</v>
      </c>
      <c r="D11" s="188"/>
      <c r="E11" s="147"/>
    </row>
    <row r="12" spans="2:19" hidden="1" x14ac:dyDescent="0.3">
      <c r="C12" s="148" t="e">
        <f>_xlfn.CONCAT(D6,D3,D5,E4)</f>
        <v>#N/A</v>
      </c>
      <c r="D12" s="32" t="str">
        <f>_xlfn.CONCAT(D7,D3,D5)</f>
        <v/>
      </c>
    </row>
    <row r="13" spans="2:19" x14ac:dyDescent="0.3">
      <c r="C13" s="148"/>
      <c r="D13" s="32"/>
    </row>
    <row r="14" spans="2:19" ht="18.600000000000001" thickBot="1" x14ac:dyDescent="0.4">
      <c r="C14" s="29" t="s">
        <v>402</v>
      </c>
      <c r="D14" s="30"/>
      <c r="E14" s="98"/>
      <c r="K14" s="32"/>
      <c r="L14" s="32"/>
    </row>
    <row r="15" spans="2:19" ht="19.8" thickBot="1" x14ac:dyDescent="0.5">
      <c r="C15" s="117" t="s">
        <v>399</v>
      </c>
      <c r="D15" s="118" t="s">
        <v>400</v>
      </c>
      <c r="E15" s="119" t="s">
        <v>401</v>
      </c>
      <c r="K15" s="32"/>
      <c r="L15" s="32"/>
    </row>
    <row r="16" spans="2:19" ht="15.6" x14ac:dyDescent="0.3">
      <c r="C16" s="207">
        <v>170</v>
      </c>
      <c r="D16" s="207" t="str">
        <f>IFERROR(IF(D7="Ja",VLOOKUP(D12,'Lijsten en tabellen'!E11:F14,2,FALSE),VLOOKUP(C12,'Lijsten en tabellen'!B10:C42,2,FALSE)),"")</f>
        <v/>
      </c>
      <c r="E16" s="207" t="str">
        <f>IF(D8="I",'Lijsten en tabellen'!S4,IF(D8="II",'Lijsten en tabellen'!T4,IF(D8="III",'Lijsten en tabellen'!U4,IF(D8="IV",'Lijsten en tabellen'!V4,""))))</f>
        <v/>
      </c>
      <c r="K16" s="32"/>
      <c r="L16" s="32"/>
    </row>
    <row r="17" spans="2:20" ht="15.6" x14ac:dyDescent="0.3">
      <c r="C17" s="98" t="s">
        <v>538</v>
      </c>
      <c r="D17" s="208"/>
      <c r="E17" s="208"/>
      <c r="K17" s="32"/>
      <c r="L17" s="32"/>
    </row>
    <row r="18" spans="2:20" x14ac:dyDescent="0.3">
      <c r="C18" s="148" t="e">
        <f>_xlfn.CONCAT(D3,D5,E5,B4)</f>
        <v>#N/A</v>
      </c>
      <c r="K18" s="32"/>
    </row>
    <row r="19" spans="2:20" ht="18" x14ac:dyDescent="0.35">
      <c r="C19" s="29" t="s">
        <v>413</v>
      </c>
      <c r="E19" s="31"/>
      <c r="F19" s="31"/>
      <c r="G19" s="31"/>
      <c r="H19" s="31"/>
      <c r="I19" s="31"/>
      <c r="K19" s="32"/>
    </row>
    <row r="20" spans="2:20" ht="18" x14ac:dyDescent="0.35">
      <c r="C20" s="192" t="s">
        <v>516</v>
      </c>
      <c r="E20" s="31"/>
      <c r="F20" s="31"/>
      <c r="G20" s="31"/>
      <c r="H20" s="31"/>
      <c r="I20" s="31"/>
      <c r="K20" s="32"/>
      <c r="T20" s="29"/>
    </row>
    <row r="21" spans="2:20" ht="19.2" x14ac:dyDescent="0.3">
      <c r="D21" s="41" t="s">
        <v>400</v>
      </c>
      <c r="E21" s="41" t="s">
        <v>414</v>
      </c>
      <c r="F21" s="41" t="s">
        <v>415</v>
      </c>
      <c r="G21" s="41" t="s">
        <v>416</v>
      </c>
      <c r="H21" s="41" t="s">
        <v>417</v>
      </c>
      <c r="I21" s="41" t="s">
        <v>418</v>
      </c>
      <c r="J21" s="41" t="s">
        <v>419</v>
      </c>
      <c r="K21" s="32"/>
    </row>
    <row r="22" spans="2:20" ht="15.6" hidden="1" x14ac:dyDescent="0.3">
      <c r="B22" t="s">
        <v>516</v>
      </c>
      <c r="C22" s="41" t="s">
        <v>450</v>
      </c>
      <c r="D22" s="209" t="e">
        <f>VLOOKUP(C18,'Algemene adviezen'!G3:N14,2,FALSE)</f>
        <v>#N/A</v>
      </c>
      <c r="E22" s="209" t="e">
        <f>VLOOKUP(C18,'Algemene adviezen'!G3:N14,3,FALSE)</f>
        <v>#N/A</v>
      </c>
      <c r="F22" s="209" t="e">
        <f>VLOOKUP(C18,'Algemene adviezen'!G3:N14,4,FALSE)</f>
        <v>#N/A</v>
      </c>
      <c r="G22" s="209" t="e">
        <f>VLOOKUP(C18,'Algemene adviezen'!G3:N14,5,FALSE)</f>
        <v>#N/A</v>
      </c>
      <c r="H22" s="209" t="e">
        <f>VLOOKUP(C18,'Algemene adviezen'!G3:N14,6,FALSE)</f>
        <v>#N/A</v>
      </c>
      <c r="I22" s="209" t="e">
        <f>VLOOKUP(C18,'Algemene adviezen'!G3:N14,7,FALSE)</f>
        <v>#N/A</v>
      </c>
      <c r="J22" s="209" t="e">
        <f>VLOOKUP(C18,'Algemene adviezen'!G3:N14,8,FALSE)</f>
        <v>#N/A</v>
      </c>
    </row>
    <row r="23" spans="2:20" ht="15.6" hidden="1" x14ac:dyDescent="0.3">
      <c r="B23" t="s">
        <v>517</v>
      </c>
      <c r="C23" s="41" t="s">
        <v>522</v>
      </c>
      <c r="D23" s="209" t="e">
        <f>D22</f>
        <v>#N/A</v>
      </c>
      <c r="E23" s="209" t="e">
        <f t="shared" ref="E23:J23" si="3">E22</f>
        <v>#N/A</v>
      </c>
      <c r="F23" s="209" t="e">
        <f t="shared" si="3"/>
        <v>#N/A</v>
      </c>
      <c r="G23" s="209" t="e">
        <f t="shared" si="3"/>
        <v>#N/A</v>
      </c>
      <c r="H23" s="209" t="e">
        <f t="shared" si="3"/>
        <v>#N/A</v>
      </c>
      <c r="I23" s="209" t="e">
        <f t="shared" si="3"/>
        <v>#N/A</v>
      </c>
      <c r="J23" s="209" t="e">
        <f t="shared" si="3"/>
        <v>#N/A</v>
      </c>
    </row>
    <row r="24" spans="2:20" ht="15.6" hidden="1" x14ac:dyDescent="0.3">
      <c r="B24" t="s">
        <v>516</v>
      </c>
      <c r="C24" s="41" t="s">
        <v>449</v>
      </c>
      <c r="D24" s="210"/>
      <c r="E24" s="210"/>
      <c r="F24" s="210"/>
      <c r="G24" s="210"/>
      <c r="H24" s="210"/>
      <c r="I24" s="210"/>
      <c r="J24" s="210"/>
    </row>
    <row r="25" spans="2:20" ht="15.6" hidden="1" x14ac:dyDescent="0.3">
      <c r="B25" t="str">
        <f>IFERROR(IF($D$10&gt;0,"Per snede",""),"Per snede")</f>
        <v/>
      </c>
      <c r="C25" s="41" t="s">
        <v>465</v>
      </c>
      <c r="D25" s="210" t="str">
        <f>IF($B$35="Per snede",D35,"")</f>
        <v/>
      </c>
      <c r="E25" s="210" t="str">
        <f t="shared" ref="E25:J25" si="4">IF($B$35="Per snede",E35,"")</f>
        <v/>
      </c>
      <c r="F25" s="210" t="str">
        <f t="shared" si="4"/>
        <v/>
      </c>
      <c r="G25" s="210" t="str">
        <f t="shared" si="4"/>
        <v/>
      </c>
      <c r="H25" s="210" t="str">
        <f t="shared" si="4"/>
        <v/>
      </c>
      <c r="I25" s="210" t="str">
        <f t="shared" si="4"/>
        <v/>
      </c>
      <c r="J25" s="210" t="str">
        <f t="shared" si="4"/>
        <v/>
      </c>
    </row>
    <row r="26" spans="2:20" ht="15.6" hidden="1" x14ac:dyDescent="0.3">
      <c r="B26" t="str">
        <f>IFERROR(IF($D$10&gt;1,"Per snede",""),"Per snede")</f>
        <v/>
      </c>
      <c r="C26" s="41" t="s">
        <v>499</v>
      </c>
      <c r="D26" s="210" t="str">
        <f>IF($B$36="Per snede",D36,"")</f>
        <v/>
      </c>
      <c r="E26" s="210" t="str">
        <f t="shared" ref="E26:J26" si="5">IF($B$36="Per snede",E36,"")</f>
        <v/>
      </c>
      <c r="F26" s="210" t="str">
        <f t="shared" si="5"/>
        <v/>
      </c>
      <c r="G26" s="210" t="str">
        <f t="shared" si="5"/>
        <v/>
      </c>
      <c r="H26" s="210" t="str">
        <f t="shared" si="5"/>
        <v/>
      </c>
      <c r="I26" s="210" t="str">
        <f t="shared" si="5"/>
        <v/>
      </c>
      <c r="J26" s="210" t="str">
        <f t="shared" si="5"/>
        <v/>
      </c>
    </row>
    <row r="27" spans="2:20" ht="15.6" hidden="1" x14ac:dyDescent="0.3">
      <c r="B27" t="str">
        <f>IFERROR(IF($D$10&gt;2,"Per snede",""),"Per snede")</f>
        <v/>
      </c>
      <c r="C27" s="41" t="s">
        <v>500</v>
      </c>
      <c r="D27" s="210" t="str">
        <f>IF($B$37="Per snede",D37,"")</f>
        <v/>
      </c>
      <c r="E27" s="210" t="str">
        <f t="shared" ref="E27:J27" si="6">IF($B$37="Per snede",E37,"")</f>
        <v/>
      </c>
      <c r="F27" s="210" t="str">
        <f t="shared" si="6"/>
        <v/>
      </c>
      <c r="G27" s="210" t="str">
        <f t="shared" si="6"/>
        <v/>
      </c>
      <c r="H27" s="210" t="str">
        <f t="shared" si="6"/>
        <v/>
      </c>
      <c r="I27" s="210" t="str">
        <f t="shared" si="6"/>
        <v/>
      </c>
      <c r="J27" s="210" t="str">
        <f t="shared" si="6"/>
        <v/>
      </c>
    </row>
    <row r="28" spans="2:20" ht="15.6" hidden="1" x14ac:dyDescent="0.3">
      <c r="B28" t="str">
        <f>IFERROR(IF($D$10&gt;3,"Per snede",""),"Per snede")</f>
        <v/>
      </c>
      <c r="C28" s="41" t="s">
        <v>501</v>
      </c>
      <c r="D28" s="210" t="str">
        <f>IF($B$38="Per snede",D38,"")</f>
        <v/>
      </c>
      <c r="E28" s="210" t="str">
        <f t="shared" ref="E28:J28" si="7">IF($B$38="Per snede",E38,"")</f>
        <v/>
      </c>
      <c r="F28" s="210" t="str">
        <f t="shared" si="7"/>
        <v/>
      </c>
      <c r="G28" s="210" t="str">
        <f t="shared" si="7"/>
        <v/>
      </c>
      <c r="H28" s="210" t="str">
        <f t="shared" si="7"/>
        <v/>
      </c>
      <c r="I28" s="210" t="str">
        <f t="shared" si="7"/>
        <v/>
      </c>
      <c r="J28" s="210" t="str">
        <f t="shared" si="7"/>
        <v/>
      </c>
    </row>
    <row r="29" spans="2:20" ht="15.6" hidden="1" x14ac:dyDescent="0.3">
      <c r="B29" t="str">
        <f>IFERROR(IF($D$10&gt;4,"Per snede",""),"Per snede")</f>
        <v/>
      </c>
      <c r="C29" s="41" t="s">
        <v>502</v>
      </c>
      <c r="D29" s="210" t="str">
        <f>IF($B$39="Per snede",D39,"")</f>
        <v/>
      </c>
      <c r="E29" s="210" t="str">
        <f t="shared" ref="E29:J29" si="8">IF($B$39="Per snede",E39,"")</f>
        <v/>
      </c>
      <c r="F29" s="210" t="str">
        <f t="shared" si="8"/>
        <v/>
      </c>
      <c r="G29" s="210" t="str">
        <f t="shared" si="8"/>
        <v/>
      </c>
      <c r="H29" s="210" t="str">
        <f t="shared" si="8"/>
        <v/>
      </c>
      <c r="I29" s="210" t="str">
        <f t="shared" si="8"/>
        <v/>
      </c>
      <c r="J29" s="210" t="str">
        <f t="shared" si="8"/>
        <v/>
      </c>
    </row>
    <row r="30" spans="2:20" ht="15.6" hidden="1" x14ac:dyDescent="0.3">
      <c r="B30" t="str">
        <f>IFERROR(IF($D$10&gt;5,"Per snede",""),"Per snede")</f>
        <v/>
      </c>
      <c r="C30" s="41" t="s">
        <v>503</v>
      </c>
      <c r="D30" s="210" t="str">
        <f>IF($B$40="Per snede",D40,"")</f>
        <v/>
      </c>
      <c r="E30" s="210" t="str">
        <f t="shared" ref="E30:J30" si="9">IF($B$40="Per snede",E40,"")</f>
        <v/>
      </c>
      <c r="F30" s="210" t="str">
        <f t="shared" si="9"/>
        <v/>
      </c>
      <c r="G30" s="210" t="str">
        <f t="shared" si="9"/>
        <v/>
      </c>
      <c r="H30" s="210" t="str">
        <f t="shared" si="9"/>
        <v/>
      </c>
      <c r="I30" s="210" t="str">
        <f t="shared" si="9"/>
        <v/>
      </c>
      <c r="J30" s="210" t="str">
        <f t="shared" si="9"/>
        <v/>
      </c>
    </row>
    <row r="31" spans="2:20" ht="15.6" hidden="1" x14ac:dyDescent="0.3">
      <c r="B31" t="s">
        <v>517</v>
      </c>
      <c r="C31" s="41" t="s">
        <v>530</v>
      </c>
      <c r="D31" s="209">
        <f>SUM(D25:D30)</f>
        <v>0</v>
      </c>
      <c r="E31" s="209">
        <f t="shared" ref="E31:J31" si="10">SUM(E25:E30)</f>
        <v>0</v>
      </c>
      <c r="F31" s="209">
        <f t="shared" si="10"/>
        <v>0</v>
      </c>
      <c r="G31" s="209">
        <f t="shared" si="10"/>
        <v>0</v>
      </c>
      <c r="H31" s="209">
        <f t="shared" si="10"/>
        <v>0</v>
      </c>
      <c r="I31" s="209">
        <f t="shared" si="10"/>
        <v>0</v>
      </c>
      <c r="J31" s="209">
        <f t="shared" si="10"/>
        <v>0</v>
      </c>
    </row>
    <row r="32" spans="2:20" hidden="1" x14ac:dyDescent="0.3"/>
    <row r="33" spans="2:26" ht="19.8" hidden="1" thickBot="1" x14ac:dyDescent="0.35">
      <c r="D33" s="121" t="s">
        <v>400</v>
      </c>
      <c r="E33" s="122" t="s">
        <v>414</v>
      </c>
      <c r="F33" s="122" t="s">
        <v>415</v>
      </c>
      <c r="G33" s="122" t="s">
        <v>416</v>
      </c>
      <c r="H33" s="122" t="s">
        <v>417</v>
      </c>
      <c r="I33" s="122" t="s">
        <v>418</v>
      </c>
      <c r="J33" s="123" t="s">
        <v>419</v>
      </c>
      <c r="L33" s="33"/>
      <c r="M33" s="33"/>
      <c r="N33" s="33"/>
      <c r="O33" s="33"/>
      <c r="P33" s="33"/>
      <c r="T33" s="33"/>
      <c r="U33" s="214" t="s">
        <v>605</v>
      </c>
      <c r="V33" s="215"/>
      <c r="W33" s="215"/>
      <c r="X33" s="216"/>
      <c r="Y33" s="216"/>
      <c r="Z33" s="217"/>
    </row>
    <row r="34" spans="2:26" ht="15.6" x14ac:dyDescent="0.3">
      <c r="B34" t="str" cm="1">
        <f t="array" ref="B34:C35">_xlfn._xlws.FILTER(B22:C30,B22:B30=C20)</f>
        <v>Per jaar</v>
      </c>
      <c r="C34" s="85" t="str">
        <v>Algemeen advies</v>
      </c>
      <c r="D34" s="120" t="str">
        <f t="shared" ref="D34:J34" si="11">IFERROR(D22,"")</f>
        <v/>
      </c>
      <c r="E34" s="120" t="str">
        <f t="shared" si="11"/>
        <v/>
      </c>
      <c r="F34" s="120" t="str">
        <f t="shared" si="11"/>
        <v/>
      </c>
      <c r="G34" s="120" t="str">
        <f t="shared" si="11"/>
        <v/>
      </c>
      <c r="H34" s="120" t="str">
        <f t="shared" si="11"/>
        <v/>
      </c>
      <c r="I34" s="120" t="str">
        <f t="shared" si="11"/>
        <v/>
      </c>
      <c r="J34" s="120" t="str">
        <f t="shared" si="11"/>
        <v/>
      </c>
      <c r="T34" s="33"/>
      <c r="U34" s="33"/>
      <c r="V34" s="33"/>
      <c r="W34" s="33"/>
    </row>
    <row r="35" spans="2:26" ht="15.6" x14ac:dyDescent="0.3">
      <c r="B35" t="str">
        <v>Per jaar</v>
      </c>
      <c r="C35" s="85" t="str">
        <v>Advies eigen analyse</v>
      </c>
      <c r="D35" s="87"/>
      <c r="E35" s="87"/>
      <c r="F35" s="87"/>
      <c r="G35" s="87"/>
      <c r="H35" s="87"/>
      <c r="I35" s="87"/>
      <c r="J35" s="87"/>
      <c r="M35" s="206"/>
      <c r="N35" s="206"/>
    </row>
    <row r="36" spans="2:26" ht="15.6" x14ac:dyDescent="0.3">
      <c r="C36" s="85"/>
      <c r="D36" s="191"/>
      <c r="E36" s="191"/>
      <c r="F36" s="191"/>
      <c r="G36" s="191"/>
      <c r="H36" s="191"/>
      <c r="I36" s="191"/>
      <c r="J36" s="191"/>
      <c r="M36" s="1"/>
      <c r="N36" s="1"/>
      <c r="U36" s="211"/>
      <c r="V36" s="211"/>
    </row>
    <row r="37" spans="2:26" ht="15.6" x14ac:dyDescent="0.3">
      <c r="C37" s="85"/>
      <c r="D37" s="191"/>
      <c r="E37" s="191"/>
      <c r="F37" s="191"/>
      <c r="G37" s="191"/>
      <c r="H37" s="191"/>
      <c r="I37" s="191"/>
      <c r="J37" s="191"/>
      <c r="M37" s="1"/>
      <c r="N37" s="1"/>
      <c r="U37" s="158"/>
      <c r="V37" s="158"/>
    </row>
    <row r="38" spans="2:26" ht="15.6" x14ac:dyDescent="0.3">
      <c r="C38" s="85"/>
      <c r="D38" s="191"/>
      <c r="E38" s="191"/>
      <c r="F38" s="191"/>
      <c r="G38" s="191"/>
      <c r="H38" s="191"/>
      <c r="I38" s="191"/>
      <c r="J38" s="191"/>
      <c r="M38" s="1"/>
      <c r="N38" s="1"/>
      <c r="U38" s="158"/>
      <c r="V38" s="158"/>
    </row>
    <row r="39" spans="2:26" ht="15.6" x14ac:dyDescent="0.3">
      <c r="C39" s="85"/>
      <c r="D39" s="191"/>
      <c r="E39" s="191"/>
      <c r="F39" s="191"/>
      <c r="G39" s="191"/>
      <c r="H39" s="191"/>
      <c r="I39" s="191"/>
      <c r="J39" s="191"/>
      <c r="U39" s="158"/>
      <c r="V39" s="158"/>
    </row>
    <row r="40" spans="2:26" ht="15.6" x14ac:dyDescent="0.3">
      <c r="C40" s="85"/>
      <c r="D40" s="191"/>
      <c r="E40" s="191"/>
      <c r="F40" s="191"/>
      <c r="G40" s="191"/>
      <c r="H40" s="191"/>
      <c r="I40" s="191"/>
      <c r="J40" s="191"/>
      <c r="U40" s="158"/>
      <c r="V40" s="158"/>
    </row>
    <row r="41" spans="2:26" ht="15.6" x14ac:dyDescent="0.3">
      <c r="C41" s="85"/>
      <c r="D41" s="1"/>
      <c r="E41" s="1"/>
      <c r="F41" s="1"/>
      <c r="G41" s="1"/>
      <c r="H41" s="1"/>
      <c r="I41" s="1"/>
      <c r="J41" s="1"/>
    </row>
    <row r="42" spans="2:26" ht="18" x14ac:dyDescent="0.35">
      <c r="C42" s="29" t="s">
        <v>628</v>
      </c>
    </row>
    <row r="43" spans="2:26" ht="18.600000000000001" thickBot="1" x14ac:dyDescent="0.4">
      <c r="C43" s="29"/>
      <c r="N43" s="218" t="s">
        <v>534</v>
      </c>
      <c r="O43" s="218"/>
      <c r="P43" s="218"/>
      <c r="Q43" s="218"/>
    </row>
    <row r="44" spans="2:26" ht="19.8" thickBot="1" x14ac:dyDescent="0.35">
      <c r="C44" s="47" t="s">
        <v>464</v>
      </c>
      <c r="D44" s="108" t="s">
        <v>466</v>
      </c>
      <c r="E44" s="48" t="s">
        <v>470</v>
      </c>
      <c r="F44" s="48" t="s">
        <v>400</v>
      </c>
      <c r="G44" s="106" t="s">
        <v>414</v>
      </c>
      <c r="H44" s="106" t="s">
        <v>415</v>
      </c>
      <c r="I44" s="106" t="s">
        <v>416</v>
      </c>
      <c r="J44" s="106" t="s">
        <v>417</v>
      </c>
      <c r="K44" s="106" t="s">
        <v>418</v>
      </c>
      <c r="L44" s="106" t="s">
        <v>419</v>
      </c>
      <c r="M44" s="107" t="s">
        <v>615</v>
      </c>
      <c r="N44" s="74" t="s">
        <v>533</v>
      </c>
      <c r="O44" s="74" t="s">
        <v>512</v>
      </c>
      <c r="P44" s="74" t="s">
        <v>513</v>
      </c>
      <c r="Q44" s="74" t="s">
        <v>514</v>
      </c>
    </row>
    <row r="45" spans="2:26" x14ac:dyDescent="0.3">
      <c r="C45" s="104" t="str">
        <f>IF(NOT('Te gebruiken meststoffen'!R3=0), 'Te gebruiken meststoffen'!R3,"")</f>
        <v/>
      </c>
      <c r="D45" s="104" t="str">
        <f>IFERROR(VLOOKUP(C45,'Te gebruiken meststoffen'!$R$3:$AA$10,2,FALSE),"")</f>
        <v/>
      </c>
      <c r="E45" s="105">
        <f>IFERROR(VLOOKUP(C45,'Te gebruiken meststoffen'!$R$3:$AA$10,3,FALSE),0)</f>
        <v>0</v>
      </c>
      <c r="F45" s="105">
        <f>IFERROR(VLOOKUP(C45,'Te gebruiken meststoffen'!$R$3:$AA$10,4,FALSE),0)</f>
        <v>0</v>
      </c>
      <c r="G45" s="105">
        <f>IFERROR(VLOOKUP(C45,'Te gebruiken meststoffen'!$R$3:$AA$10,5,FALSE),0)</f>
        <v>0</v>
      </c>
      <c r="H45" s="105">
        <f>IFERROR(VLOOKUP(C45,'Te gebruiken meststoffen'!$R$3:$AA$10,6,FALSE),0)</f>
        <v>0</v>
      </c>
      <c r="I45" s="105">
        <f>IFERROR(VLOOKUP(C45,'Te gebruiken meststoffen'!$R$3:$AA$10,7,FALSE),0)</f>
        <v>0</v>
      </c>
      <c r="J45" s="105">
        <f>IFERROR(VLOOKUP(C45,'Te gebruiken meststoffen'!$R$3:$AA$10,8,FALSE),0)</f>
        <v>0</v>
      </c>
      <c r="K45" s="105">
        <f>IFERROR(VLOOKUP(C45,'Te gebruiken meststoffen'!$R$3:$AA$10,9,FALSE),0)</f>
        <v>0</v>
      </c>
      <c r="L45" s="129">
        <f>IFERROR(VLOOKUP(C45,'Te gebruiken meststoffen'!$R$3:$AB$10,10,FALSE),0)</f>
        <v>0</v>
      </c>
      <c r="M45" s="105">
        <f>IFERROR(VLOOKUP(C45,'Te gebruiken meststoffen'!$R$3:$AH$10,17,FALSE),0)</f>
        <v>0</v>
      </c>
      <c r="N45" s="78">
        <f>IFERROR(VLOOKUP(C45,'Te gebruiken meststoffen'!$R$3:$AG$10,13,FALSE),0)</f>
        <v>0</v>
      </c>
      <c r="O45" s="78">
        <f>IFERROR(VLOOKUP(C45,'Te gebruiken meststoffen'!$R$3:$AG$10,14,FALSE),0)</f>
        <v>0</v>
      </c>
      <c r="P45" s="78">
        <f>IFERROR(VLOOKUP(C45,'Te gebruiken meststoffen'!$R$3:$AG$10,15,FALSE),0)</f>
        <v>0</v>
      </c>
      <c r="Q45" s="78">
        <f>IFERROR(VLOOKUP(C45,'Te gebruiken meststoffen'!$R$3:$AG$10,16,FALSE),0)</f>
        <v>0</v>
      </c>
      <c r="T45" s="149" t="e">
        <f>VLOOKUP(C45,'Te gebruiken meststoffen'!$R$3:$AB$10,11,FALSE)</f>
        <v>#N/A</v>
      </c>
    </row>
    <row r="46" spans="2:26" x14ac:dyDescent="0.3">
      <c r="C46" s="104" t="str">
        <f>IF(NOT('Te gebruiken meststoffen'!R4=0), 'Te gebruiken meststoffen'!R4,"")</f>
        <v/>
      </c>
      <c r="D46" s="86" t="str">
        <f>IFERROR(VLOOKUP(C46,'Te gebruiken meststoffen'!$R$3:$AA$10,2,FALSE),"")</f>
        <v/>
      </c>
      <c r="E46" s="99">
        <f>IFERROR(VLOOKUP(C46,'Te gebruiken meststoffen'!$R$3:$AA$10,3,FALSE),0)</f>
        <v>0</v>
      </c>
      <c r="F46" s="99">
        <f>IFERROR(VLOOKUP(C46,'Te gebruiken meststoffen'!$R$3:$AA$10,4,FALSE),0)</f>
        <v>0</v>
      </c>
      <c r="G46" s="99">
        <f>IFERROR(VLOOKUP(C46,'Te gebruiken meststoffen'!$R$3:$AA$10,5,FALSE),0)</f>
        <v>0</v>
      </c>
      <c r="H46" s="99">
        <f>IFERROR(VLOOKUP(C46,'Te gebruiken meststoffen'!$R$3:$AA$10,6,FALSE),0)</f>
        <v>0</v>
      </c>
      <c r="I46" s="99">
        <f>IFERROR(VLOOKUP(C46,'Te gebruiken meststoffen'!$R$3:$AA$10,7,FALSE),0)</f>
        <v>0</v>
      </c>
      <c r="J46" s="99">
        <f>IFERROR(VLOOKUP(C46,'Te gebruiken meststoffen'!$R$3:$AA$10,8,FALSE),0)</f>
        <v>0</v>
      </c>
      <c r="K46" s="99">
        <f>IFERROR(VLOOKUP(C46,'Te gebruiken meststoffen'!$R$3:$AA$10,9,FALSE),0)</f>
        <v>0</v>
      </c>
      <c r="L46" s="130">
        <f>IFERROR(VLOOKUP(C46,'Te gebruiken meststoffen'!$R$3:$AB$10,10,FALSE),0)</f>
        <v>0</v>
      </c>
      <c r="M46" s="99">
        <f>IFERROR(VLOOKUP(C46,'Te gebruiken meststoffen'!$R$3:$AH$10,17,FALSE),0)</f>
        <v>0</v>
      </c>
      <c r="N46" s="78">
        <f>IFERROR(VLOOKUP(C46,'Te gebruiken meststoffen'!$R$3:$AG$10,13,FALSE),0)</f>
        <v>0</v>
      </c>
      <c r="O46" s="78">
        <f>IFERROR(VLOOKUP(C46,'Te gebruiken meststoffen'!$R$3:$AG$10,14,FALSE),0)</f>
        <v>0</v>
      </c>
      <c r="P46" s="78">
        <f>IFERROR(VLOOKUP(C46,'Te gebruiken meststoffen'!$R$3:$AG$10,15,FALSE),0)</f>
        <v>0</v>
      </c>
      <c r="Q46" s="78">
        <f>IFERROR(VLOOKUP(C46,'Te gebruiken meststoffen'!$R$3:$AG$10,16,FALSE),0)</f>
        <v>0</v>
      </c>
      <c r="T46" s="149" t="e">
        <f>VLOOKUP(C46,'Te gebruiken meststoffen'!$R$3:$AB$10,11,FALSE)</f>
        <v>#N/A</v>
      </c>
    </row>
    <row r="47" spans="2:26" x14ac:dyDescent="0.3">
      <c r="C47" s="104" t="str">
        <f>IF(NOT('Te gebruiken meststoffen'!R5=0), 'Te gebruiken meststoffen'!R5,"")</f>
        <v/>
      </c>
      <c r="D47" s="86" t="str">
        <f>IFERROR(VLOOKUP(C47,'Te gebruiken meststoffen'!$R$3:$AA$10,2,FALSE),"")</f>
        <v/>
      </c>
      <c r="E47" s="99">
        <f>IFERROR(VLOOKUP(C47,'Te gebruiken meststoffen'!$R$3:$AA$10,3,FALSE),0)</f>
        <v>0</v>
      </c>
      <c r="F47" s="99">
        <f>IFERROR(VLOOKUP(C47,'Te gebruiken meststoffen'!$R$3:$AA$10,4,FALSE),0)</f>
        <v>0</v>
      </c>
      <c r="G47" s="99">
        <f>IFERROR(VLOOKUP(C47,'Te gebruiken meststoffen'!$R$3:$AA$10,5,FALSE),0)</f>
        <v>0</v>
      </c>
      <c r="H47" s="99">
        <f>IFERROR(VLOOKUP(C47,'Te gebruiken meststoffen'!$R$3:$AA$10,6,FALSE),0)</f>
        <v>0</v>
      </c>
      <c r="I47" s="99">
        <f>IFERROR(VLOOKUP(C47,'Te gebruiken meststoffen'!$R$3:$AA$10,7,FALSE),0)</f>
        <v>0</v>
      </c>
      <c r="J47" s="99">
        <f>IFERROR(VLOOKUP(C47,'Te gebruiken meststoffen'!$R$3:$AA$10,8,FALSE),0)</f>
        <v>0</v>
      </c>
      <c r="K47" s="99">
        <f>IFERROR(VLOOKUP(C47,'Te gebruiken meststoffen'!$R$3:$AA$10,9,FALSE),0)</f>
        <v>0</v>
      </c>
      <c r="L47" s="130">
        <f>IFERROR(VLOOKUP(C47,'Te gebruiken meststoffen'!$R$3:$AB$10,10,FALSE),0)</f>
        <v>0</v>
      </c>
      <c r="M47" s="99">
        <f>IFERROR(VLOOKUP(C47,'Te gebruiken meststoffen'!$R$3:$AH$10,17,FALSE),0)</f>
        <v>0</v>
      </c>
      <c r="N47" s="78">
        <f>IFERROR(VLOOKUP(C47,'Te gebruiken meststoffen'!$R$3:$AG$10,13,FALSE),0)</f>
        <v>0</v>
      </c>
      <c r="O47" s="78">
        <f>IFERROR(VLOOKUP(C47,'Te gebruiken meststoffen'!$R$3:$AG$10,14,FALSE),0)</f>
        <v>0</v>
      </c>
      <c r="P47" s="78">
        <f>IFERROR(VLOOKUP(C47,'Te gebruiken meststoffen'!$R$3:$AG$10,15,FALSE),0)</f>
        <v>0</v>
      </c>
      <c r="Q47" s="78">
        <f>IFERROR(VLOOKUP(C47,'Te gebruiken meststoffen'!$R$3:$AG$10,16,FALSE),0)</f>
        <v>0</v>
      </c>
      <c r="T47" s="149" t="e">
        <f>VLOOKUP(C47,'Te gebruiken meststoffen'!$R$3:$AB$10,11,FALSE)</f>
        <v>#N/A</v>
      </c>
    </row>
    <row r="48" spans="2:26" x14ac:dyDescent="0.3">
      <c r="C48" s="104" t="str">
        <f>IF(NOT('Te gebruiken meststoffen'!R6=0), 'Te gebruiken meststoffen'!R6,"")</f>
        <v/>
      </c>
      <c r="D48" s="86" t="str">
        <f>IFERROR(VLOOKUP(C48,'Te gebruiken meststoffen'!$R$3:$AA$10,2,FALSE),"")</f>
        <v/>
      </c>
      <c r="E48" s="99">
        <f>IFERROR(VLOOKUP(C48,'Te gebruiken meststoffen'!$R$3:$AA$10,3,FALSE),0)</f>
        <v>0</v>
      </c>
      <c r="F48" s="99">
        <f>IFERROR(VLOOKUP(C48,'Te gebruiken meststoffen'!$R$3:$AA$10,4,FALSE),0)</f>
        <v>0</v>
      </c>
      <c r="G48" s="99">
        <f>IFERROR(VLOOKUP(C48,'Te gebruiken meststoffen'!$R$3:$AA$10,5,FALSE),0)</f>
        <v>0</v>
      </c>
      <c r="H48" s="99">
        <f>IFERROR(VLOOKUP(C48,'Te gebruiken meststoffen'!$R$3:$AA$10,6,FALSE),0)</f>
        <v>0</v>
      </c>
      <c r="I48" s="99">
        <f>IFERROR(VLOOKUP(C48,'Te gebruiken meststoffen'!$R$3:$AA$10,7,FALSE),0)</f>
        <v>0</v>
      </c>
      <c r="J48" s="99">
        <f>IFERROR(VLOOKUP(C48,'Te gebruiken meststoffen'!$R$3:$AA$10,8,FALSE),0)</f>
        <v>0</v>
      </c>
      <c r="K48" s="99">
        <f>IFERROR(VLOOKUP(C48,'Te gebruiken meststoffen'!$R$3:$AA$10,9,FALSE),0)</f>
        <v>0</v>
      </c>
      <c r="L48" s="130">
        <f>IFERROR(VLOOKUP(C48,'Te gebruiken meststoffen'!$R$3:$AB$10,10,FALSE),0)</f>
        <v>0</v>
      </c>
      <c r="M48" s="99">
        <f>IFERROR(VLOOKUP(C48,'Te gebruiken meststoffen'!$R$3:$AH$10,17,FALSE),0)</f>
        <v>0</v>
      </c>
      <c r="N48" s="78">
        <f>IFERROR(VLOOKUP(C48,'Te gebruiken meststoffen'!$R$3:$AG$10,13,FALSE),0)</f>
        <v>0</v>
      </c>
      <c r="O48" s="78">
        <f>IFERROR(VLOOKUP(C48,'Te gebruiken meststoffen'!$R$3:$AG$10,14,FALSE),0)</f>
        <v>0</v>
      </c>
      <c r="P48" s="78">
        <f>IFERROR(VLOOKUP(C48,'Te gebruiken meststoffen'!$R$3:$AG$10,15,FALSE),0)</f>
        <v>0</v>
      </c>
      <c r="Q48" s="78">
        <f>IFERROR(VLOOKUP(C48,'Te gebruiken meststoffen'!$R$3:$AG$10,16,FALSE),0)</f>
        <v>0</v>
      </c>
      <c r="T48" s="149" t="e">
        <f>VLOOKUP(C48,'Te gebruiken meststoffen'!$R$3:$AB$10,11,FALSE)</f>
        <v>#N/A</v>
      </c>
    </row>
    <row r="49" spans="1:38" x14ac:dyDescent="0.3">
      <c r="C49" s="104" t="str">
        <f>IF(NOT('Te gebruiken meststoffen'!R7=0), 'Te gebruiken meststoffen'!R7,"")</f>
        <v/>
      </c>
      <c r="D49" s="86" t="str">
        <f>IFERROR(VLOOKUP(C49,'Te gebruiken meststoffen'!$R$3:$AA$10,2,FALSE),"")</f>
        <v/>
      </c>
      <c r="E49" s="99">
        <f>IFERROR(VLOOKUP(C49,'Te gebruiken meststoffen'!$R$3:$AA$10,3,FALSE),0)</f>
        <v>0</v>
      </c>
      <c r="F49" s="99">
        <f>IFERROR(VLOOKUP(C49,'Te gebruiken meststoffen'!$R$3:$AA$10,4,FALSE),0)</f>
        <v>0</v>
      </c>
      <c r="G49" s="99">
        <f>IFERROR(VLOOKUP(C49,'Te gebruiken meststoffen'!$R$3:$AA$10,5,FALSE),0)</f>
        <v>0</v>
      </c>
      <c r="H49" s="99">
        <f>IFERROR(VLOOKUP(C49,'Te gebruiken meststoffen'!$R$3:$AA$10,6,FALSE),0)</f>
        <v>0</v>
      </c>
      <c r="I49" s="99">
        <f>IFERROR(VLOOKUP(C49,'Te gebruiken meststoffen'!$R$3:$AA$10,7,FALSE),0)</f>
        <v>0</v>
      </c>
      <c r="J49" s="99">
        <f>IFERROR(VLOOKUP(C49,'Te gebruiken meststoffen'!$R$3:$AA$10,8,FALSE),0)</f>
        <v>0</v>
      </c>
      <c r="K49" s="99">
        <f>IFERROR(VLOOKUP(C49,'Te gebruiken meststoffen'!$R$3:$AA$10,9,FALSE),0)</f>
        <v>0</v>
      </c>
      <c r="L49" s="130">
        <f>IFERROR(VLOOKUP(C49,'Te gebruiken meststoffen'!$R$3:$AB$10,10,FALSE),0)</f>
        <v>0</v>
      </c>
      <c r="M49" s="99">
        <f>IFERROR(VLOOKUP(C49,'Te gebruiken meststoffen'!$R$3:$AH$10,17,FALSE),0)</f>
        <v>0</v>
      </c>
      <c r="N49" s="78">
        <f>IFERROR(VLOOKUP(C49,'Te gebruiken meststoffen'!$R$3:$AG$10,13,FALSE),0)</f>
        <v>0</v>
      </c>
      <c r="O49" s="78">
        <f>IFERROR(VLOOKUP(C49,'Te gebruiken meststoffen'!$R$3:$AG$10,14,FALSE),0)</f>
        <v>0</v>
      </c>
      <c r="P49" s="78">
        <f>IFERROR(VLOOKUP(C49,'Te gebruiken meststoffen'!$R$3:$AG$10,15,FALSE),0)</f>
        <v>0</v>
      </c>
      <c r="Q49" s="78">
        <f>IFERROR(VLOOKUP(C49,'Te gebruiken meststoffen'!$R$3:$AG$10,16,FALSE),0)</f>
        <v>0</v>
      </c>
      <c r="T49" s="149" t="e">
        <f>VLOOKUP(C49,'Te gebruiken meststoffen'!$R$3:$AB$10,11,FALSE)</f>
        <v>#N/A</v>
      </c>
    </row>
    <row r="50" spans="1:38" x14ac:dyDescent="0.3">
      <c r="C50" s="104" t="str">
        <f>IF(NOT('Te gebruiken meststoffen'!R8=0), 'Te gebruiken meststoffen'!R8,"")</f>
        <v/>
      </c>
      <c r="D50" s="86" t="str">
        <f>IFERROR(VLOOKUP(C50,'Te gebruiken meststoffen'!$R$3:$AA$10,2,FALSE),"")</f>
        <v/>
      </c>
      <c r="E50" s="99">
        <f>IFERROR(VLOOKUP(C50,'Te gebruiken meststoffen'!$R$3:$AA$10,3,FALSE),0)</f>
        <v>0</v>
      </c>
      <c r="F50" s="99">
        <f>IFERROR(VLOOKUP(C50,'Te gebruiken meststoffen'!$R$3:$AA$10,4,FALSE),0)</f>
        <v>0</v>
      </c>
      <c r="G50" s="99">
        <f>IFERROR(VLOOKUP(C50,'Te gebruiken meststoffen'!$R$3:$AA$10,5,FALSE),0)</f>
        <v>0</v>
      </c>
      <c r="H50" s="99">
        <f>IFERROR(VLOOKUP(C50,'Te gebruiken meststoffen'!$R$3:$AA$10,6,FALSE),0)</f>
        <v>0</v>
      </c>
      <c r="I50" s="99">
        <f>IFERROR(VLOOKUP(C50,'Te gebruiken meststoffen'!$R$3:$AA$10,7,FALSE),0)</f>
        <v>0</v>
      </c>
      <c r="J50" s="99">
        <f>IFERROR(VLOOKUP(C50,'Te gebruiken meststoffen'!$R$3:$AA$10,8,FALSE),0)</f>
        <v>0</v>
      </c>
      <c r="K50" s="99">
        <f>IFERROR(VLOOKUP(C50,'Te gebruiken meststoffen'!$R$3:$AA$10,9,FALSE),0)</f>
        <v>0</v>
      </c>
      <c r="L50" s="130">
        <f>IFERROR(VLOOKUP(C50,'Te gebruiken meststoffen'!$R$3:$AB$10,10,FALSE),0)</f>
        <v>0</v>
      </c>
      <c r="M50" s="99">
        <f>IFERROR(VLOOKUP(C50,'Te gebruiken meststoffen'!$R$3:$AH$10,17,FALSE),0)</f>
        <v>0</v>
      </c>
      <c r="N50" s="78">
        <f>IFERROR(VLOOKUP(C50,'Te gebruiken meststoffen'!$R$3:$AG$10,13,FALSE),0)</f>
        <v>0</v>
      </c>
      <c r="O50" s="78">
        <f>IFERROR(VLOOKUP(C50,'Te gebruiken meststoffen'!$R$3:$AG$10,14,FALSE),0)</f>
        <v>0</v>
      </c>
      <c r="P50" s="78">
        <f>IFERROR(VLOOKUP(C50,'Te gebruiken meststoffen'!$R$3:$AG$10,15,FALSE),0)</f>
        <v>0</v>
      </c>
      <c r="Q50" s="78">
        <f>IFERROR(VLOOKUP(C50,'Te gebruiken meststoffen'!$R$3:$AG$10,16,FALSE),0)</f>
        <v>0</v>
      </c>
      <c r="T50" s="149" t="e">
        <f>VLOOKUP(C50,'Te gebruiken meststoffen'!$R$3:$AB$10,11,FALSE)</f>
        <v>#N/A</v>
      </c>
    </row>
    <row r="51" spans="1:38" x14ac:dyDescent="0.3">
      <c r="C51" s="104" t="str">
        <f>IF(NOT('Te gebruiken meststoffen'!R9=0), 'Te gebruiken meststoffen'!R9,"")</f>
        <v/>
      </c>
      <c r="D51" s="86" t="str">
        <f>IFERROR(VLOOKUP(C51,'Te gebruiken meststoffen'!$R$3:$AA$10,2,FALSE),"")</f>
        <v/>
      </c>
      <c r="E51" s="99">
        <f>IFERROR(VLOOKUP(C51,'Te gebruiken meststoffen'!$R$3:$AA$10,3,FALSE),0)</f>
        <v>0</v>
      </c>
      <c r="F51" s="99">
        <f>IFERROR(VLOOKUP(C51,'Te gebruiken meststoffen'!$R$3:$AA$10,4,FALSE),0)</f>
        <v>0</v>
      </c>
      <c r="G51" s="99">
        <f>IFERROR(VLOOKUP(C51,'Te gebruiken meststoffen'!$R$3:$AA$10,5,FALSE),0)</f>
        <v>0</v>
      </c>
      <c r="H51" s="99">
        <f>IFERROR(VLOOKUP(C51,'Te gebruiken meststoffen'!$R$3:$AA$10,6,FALSE),0)</f>
        <v>0</v>
      </c>
      <c r="I51" s="99">
        <f>IFERROR(VLOOKUP(C51,'Te gebruiken meststoffen'!$R$3:$AA$10,7,FALSE),0)</f>
        <v>0</v>
      </c>
      <c r="J51" s="99">
        <f>IFERROR(VLOOKUP(C51,'Te gebruiken meststoffen'!$R$3:$AA$10,8,FALSE),0)</f>
        <v>0</v>
      </c>
      <c r="K51" s="99">
        <f>IFERROR(VLOOKUP(C51,'Te gebruiken meststoffen'!$R$3:$AA$10,9,FALSE),0)</f>
        <v>0</v>
      </c>
      <c r="L51" s="130">
        <f>IFERROR(VLOOKUP(C51,'Te gebruiken meststoffen'!$R$3:$AB$10,10,FALSE),0)</f>
        <v>0</v>
      </c>
      <c r="M51" s="99">
        <f>IFERROR(VLOOKUP(C51,'Te gebruiken meststoffen'!$R$3:$AH$10,17,FALSE),0)</f>
        <v>0</v>
      </c>
      <c r="N51" s="78">
        <f>IFERROR(VLOOKUP(C51,'Te gebruiken meststoffen'!$R$3:$AG$10,13,FALSE),0)</f>
        <v>0</v>
      </c>
      <c r="O51" s="78">
        <f>IFERROR(VLOOKUP(C51,'Te gebruiken meststoffen'!$R$3:$AG$10,14,FALSE),0)</f>
        <v>0</v>
      </c>
      <c r="P51" s="78">
        <f>IFERROR(VLOOKUP(C51,'Te gebruiken meststoffen'!$R$3:$AG$10,15,FALSE),0)</f>
        <v>0</v>
      </c>
      <c r="Q51" s="78">
        <f>IFERROR(VLOOKUP(C51,'Te gebruiken meststoffen'!$R$3:$AG$10,16,FALSE),0)</f>
        <v>0</v>
      </c>
      <c r="T51" s="149" t="e">
        <f>VLOOKUP(C51,'Te gebruiken meststoffen'!$R$3:$AB$10,11,FALSE)</f>
        <v>#N/A</v>
      </c>
    </row>
    <row r="52" spans="1:38" x14ac:dyDescent="0.3">
      <c r="C52" s="104" t="str">
        <f>IF(NOT('Te gebruiken meststoffen'!R10=0), 'Te gebruiken meststoffen'!R10,"")</f>
        <v/>
      </c>
      <c r="D52" s="86" t="str">
        <f>IFERROR(VLOOKUP(C52,'Te gebruiken meststoffen'!$R$3:$AA$10,2,FALSE),"")</f>
        <v/>
      </c>
      <c r="E52" s="99">
        <f>IFERROR(VLOOKUP(C52,'Te gebruiken meststoffen'!$R$3:$AA$10,3,FALSE),0)</f>
        <v>0</v>
      </c>
      <c r="F52" s="99">
        <f>IFERROR(VLOOKUP(C52,'Te gebruiken meststoffen'!$R$3:$AA$10,4,FALSE),0)</f>
        <v>0</v>
      </c>
      <c r="G52" s="99">
        <f>IFERROR(VLOOKUP(C52,'Te gebruiken meststoffen'!$R$3:$AA$10,5,FALSE),0)</f>
        <v>0</v>
      </c>
      <c r="H52" s="99">
        <f>IFERROR(VLOOKUP(C52,'Te gebruiken meststoffen'!$R$3:$AA$10,6,FALSE),0)</f>
        <v>0</v>
      </c>
      <c r="I52" s="99">
        <f>IFERROR(VLOOKUP(C52,'Te gebruiken meststoffen'!$R$3:$AA$10,7,FALSE),0)</f>
        <v>0</v>
      </c>
      <c r="J52" s="99">
        <f>IFERROR(VLOOKUP(C52,'Te gebruiken meststoffen'!$R$3:$AA$10,8,FALSE),0)</f>
        <v>0</v>
      </c>
      <c r="K52" s="99">
        <f>IFERROR(VLOOKUP(C52,'Te gebruiken meststoffen'!$R$3:$AA$10,9,FALSE),0)</f>
        <v>0</v>
      </c>
      <c r="L52" s="130">
        <f>IFERROR(VLOOKUP(C52,'Te gebruiken meststoffen'!$R$3:$AB$10,10,FALSE),0)</f>
        <v>0</v>
      </c>
      <c r="M52" s="144">
        <f>IFERROR(VLOOKUP(C52,'Te gebruiken meststoffen'!$R$3:$AH$10,17,FALSE),0)</f>
        <v>0</v>
      </c>
      <c r="N52" s="78">
        <f>IFERROR(VLOOKUP(C52,'Te gebruiken meststoffen'!$R$3:$AG$10,13,FALSE),0)</f>
        <v>0</v>
      </c>
      <c r="O52" s="78">
        <f>IFERROR(VLOOKUP(C52,'Te gebruiken meststoffen'!$R$3:$AG$10,14,FALSE),0)</f>
        <v>0</v>
      </c>
      <c r="P52" s="78">
        <f>IFERROR(VLOOKUP(C52,'Te gebruiken meststoffen'!$R$3:$AG$10,15,FALSE),0)</f>
        <v>0</v>
      </c>
      <c r="Q52" s="78">
        <f>IFERROR(VLOOKUP(C52,'Te gebruiken meststoffen'!$R$3:$AG$10,16,FALSE),0)</f>
        <v>0</v>
      </c>
      <c r="T52" s="149" t="e">
        <f>VLOOKUP(C52,'Te gebruiken meststoffen'!$R$3:$AB$10,11,FALSE)</f>
        <v>#N/A</v>
      </c>
    </row>
    <row r="53" spans="1:38" x14ac:dyDescent="0.3">
      <c r="C53" t="str">
        <f>IF(G4=1,_xlfn.CONCAT($G$3," ",G4),"")</f>
        <v/>
      </c>
      <c r="D53" t="str">
        <f>IF(C53="","","kg")</f>
        <v/>
      </c>
      <c r="E53" s="78" t="str">
        <f t="shared" ref="E53:G58" si="12">IF(C53="","",P4)</f>
        <v/>
      </c>
      <c r="F53" s="78" t="str">
        <f t="shared" si="12"/>
        <v/>
      </c>
      <c r="G53" s="78" t="str">
        <f t="shared" si="12"/>
        <v/>
      </c>
      <c r="M53" s="193"/>
      <c r="N53" s="78" t="str">
        <f t="shared" ref="N53:N58" si="13">F53</f>
        <v/>
      </c>
      <c r="T53" s="149" t="str">
        <f>IF(E53="","","DIERLIJKE")</f>
        <v/>
      </c>
    </row>
    <row r="54" spans="1:38" x14ac:dyDescent="0.3">
      <c r="C54" t="str">
        <f>IF(G5=2,_xlfn.CONCAT($G$3," ",G5),"")</f>
        <v/>
      </c>
      <c r="D54" t="str">
        <f t="shared" ref="D54:D58" si="14">IF(C54="","","kg")</f>
        <v/>
      </c>
      <c r="E54" s="78" t="str">
        <f t="shared" si="12"/>
        <v/>
      </c>
      <c r="F54" s="78" t="str">
        <f t="shared" si="12"/>
        <v/>
      </c>
      <c r="G54" s="78" t="str">
        <f t="shared" si="12"/>
        <v/>
      </c>
      <c r="M54" s="194"/>
      <c r="N54" s="78" t="str">
        <f t="shared" si="13"/>
        <v/>
      </c>
      <c r="T54" s="149" t="str">
        <f t="shared" ref="T54:T58" si="15">IF(E54="","","DIERLIJKE")</f>
        <v/>
      </c>
    </row>
    <row r="55" spans="1:38" x14ac:dyDescent="0.3">
      <c r="C55" t="str">
        <f>IF(G6=3,_xlfn.CONCAT($G$3," ",G6),"")</f>
        <v/>
      </c>
      <c r="D55" t="str">
        <f t="shared" si="14"/>
        <v/>
      </c>
      <c r="E55" s="78" t="str">
        <f t="shared" si="12"/>
        <v/>
      </c>
      <c r="F55" s="78" t="str">
        <f t="shared" si="12"/>
        <v/>
      </c>
      <c r="G55" s="78" t="str">
        <f t="shared" si="12"/>
        <v/>
      </c>
      <c r="M55" s="194"/>
      <c r="N55" s="78" t="str">
        <f t="shared" si="13"/>
        <v/>
      </c>
      <c r="T55" s="149" t="str">
        <f t="shared" si="15"/>
        <v/>
      </c>
    </row>
    <row r="56" spans="1:38" x14ac:dyDescent="0.3">
      <c r="C56" t="str">
        <f>IF(G7=4,_xlfn.CONCAT($G$3," ",G7),"")</f>
        <v/>
      </c>
      <c r="D56" t="str">
        <f t="shared" si="14"/>
        <v/>
      </c>
      <c r="E56" s="78" t="str">
        <f t="shared" si="12"/>
        <v/>
      </c>
      <c r="F56" s="78" t="str">
        <f t="shared" si="12"/>
        <v/>
      </c>
      <c r="G56" s="78" t="str">
        <f t="shared" si="12"/>
        <v/>
      </c>
      <c r="M56" s="189"/>
      <c r="N56" s="78" t="str">
        <f t="shared" si="13"/>
        <v/>
      </c>
      <c r="T56" s="149" t="str">
        <f t="shared" si="15"/>
        <v/>
      </c>
    </row>
    <row r="57" spans="1:38" x14ac:dyDescent="0.3">
      <c r="C57" t="str">
        <f>IF(G8=5,_xlfn.CONCAT($G$3," ",G8),"")</f>
        <v/>
      </c>
      <c r="D57" t="str">
        <f t="shared" si="14"/>
        <v/>
      </c>
      <c r="E57" s="78" t="str">
        <f t="shared" si="12"/>
        <v/>
      </c>
      <c r="F57" s="78" t="str">
        <f t="shared" si="12"/>
        <v/>
      </c>
      <c r="G57" s="78" t="str">
        <f t="shared" si="12"/>
        <v/>
      </c>
      <c r="M57" s="189"/>
      <c r="N57" s="78" t="str">
        <f t="shared" si="13"/>
        <v/>
      </c>
      <c r="T57" s="149" t="str">
        <f t="shared" si="15"/>
        <v/>
      </c>
    </row>
    <row r="58" spans="1:38" x14ac:dyDescent="0.3">
      <c r="C58" t="str">
        <f>IF(G9=6,_xlfn.CONCAT($G$3," ",G9),"")</f>
        <v/>
      </c>
      <c r="D58" t="str">
        <f t="shared" si="14"/>
        <v/>
      </c>
      <c r="E58" s="78" t="str">
        <f t="shared" si="12"/>
        <v/>
      </c>
      <c r="F58" s="78" t="str">
        <f t="shared" si="12"/>
        <v/>
      </c>
      <c r="G58" s="78" t="str">
        <f t="shared" si="12"/>
        <v/>
      </c>
      <c r="M58" s="189"/>
      <c r="N58" s="78" t="str">
        <f t="shared" si="13"/>
        <v/>
      </c>
      <c r="T58" s="149" t="str">
        <f t="shared" si="15"/>
        <v/>
      </c>
    </row>
    <row r="59" spans="1:38" ht="18" x14ac:dyDescent="0.35">
      <c r="C59" s="29" t="s">
        <v>463</v>
      </c>
      <c r="T59" s="147"/>
    </row>
    <row r="60" spans="1:38" ht="15" thickBot="1" x14ac:dyDescent="0.35"/>
    <row r="61" spans="1:38" ht="19.8" thickBot="1" x14ac:dyDescent="0.35">
      <c r="C61" s="47" t="s">
        <v>464</v>
      </c>
      <c r="D61" s="56" t="s">
        <v>532</v>
      </c>
      <c r="E61" s="56" t="s">
        <v>467</v>
      </c>
      <c r="F61" s="48" t="s">
        <v>470</v>
      </c>
      <c r="G61" s="48" t="s">
        <v>400</v>
      </c>
      <c r="H61" s="48" t="s">
        <v>414</v>
      </c>
      <c r="I61" s="48" t="s">
        <v>415</v>
      </c>
      <c r="J61" s="48" t="s">
        <v>416</v>
      </c>
      <c r="K61" s="48" t="s">
        <v>417</v>
      </c>
      <c r="L61" s="48" t="s">
        <v>418</v>
      </c>
      <c r="M61" s="57" t="s">
        <v>419</v>
      </c>
      <c r="N61" s="82" t="s">
        <v>510</v>
      </c>
      <c r="O61" s="48" t="s">
        <v>494</v>
      </c>
      <c r="P61" s="48" t="s">
        <v>491</v>
      </c>
      <c r="Q61" s="48" t="s">
        <v>492</v>
      </c>
      <c r="R61" s="57" t="s">
        <v>493</v>
      </c>
      <c r="S61" s="81" t="s">
        <v>608</v>
      </c>
      <c r="T61" s="136" t="s">
        <v>613</v>
      </c>
      <c r="U61" s="56"/>
      <c r="V61" s="56" t="s">
        <v>614</v>
      </c>
      <c r="W61" s="80" t="s">
        <v>616</v>
      </c>
      <c r="Y61" s="147" t="str">
        <f>_xlfn.CONCAT("Kostprijs bemesting ",C45," (EUR/ha)")</f>
        <v>Kostprijs bemesting  (EUR/ha)</v>
      </c>
      <c r="Z61" s="147" t="str">
        <f>_xlfn.CONCAT("Kostprijs bemesting ",C46," (EUR/ha)")</f>
        <v>Kostprijs bemesting  (EUR/ha)</v>
      </c>
      <c r="AA61" s="147" t="str">
        <f>_xlfn.CONCAT("Kostprijs bemesting ",C47," (EUR/ha)")</f>
        <v>Kostprijs bemesting  (EUR/ha)</v>
      </c>
      <c r="AB61" s="147" t="str">
        <f>_xlfn.CONCAT("Kostprijs bemesting ",C48," (EUR/ha)")</f>
        <v>Kostprijs bemesting  (EUR/ha)</v>
      </c>
      <c r="AC61" s="147" t="str">
        <f>_xlfn.CONCAT("Kostprijs bemesting ",C49," (EUR/ha)")</f>
        <v>Kostprijs bemesting  (EUR/ha)</v>
      </c>
      <c r="AD61" s="147" t="str">
        <f>_xlfn.CONCAT("Kostprijs bemesting ",C50," (EUR/ha)")</f>
        <v>Kostprijs bemesting  (EUR/ha)</v>
      </c>
      <c r="AE61" s="147" t="str">
        <f>_xlfn.CONCAT("Kostprijs bemesting ",C51," (EUR/ha)")</f>
        <v>Kostprijs bemesting  (EUR/ha)</v>
      </c>
      <c r="AF61" s="147" t="str">
        <f>_xlfn.CONCAT("Kostprijs bemesting ",C52," (EUR/ha)")</f>
        <v>Kostprijs bemesting  (EUR/ha)</v>
      </c>
      <c r="AG61" s="147" t="str">
        <f>_xlfn.CONCAT("Kostprijs bemesting ",C53," (EUR/ha)")</f>
        <v>Kostprijs bemesting  (EUR/ha)</v>
      </c>
      <c r="AH61" s="147" t="str">
        <f>_xlfn.CONCAT("Kostprijs bemesting ",C54," (EUR/ha)")</f>
        <v>Kostprijs bemesting  (EUR/ha)</v>
      </c>
      <c r="AI61" s="147" t="str">
        <f>_xlfn.CONCAT("Kostprijs bemesting ",C55," (EUR/ha)")</f>
        <v>Kostprijs bemesting  (EUR/ha)</v>
      </c>
      <c r="AJ61" s="147" t="str">
        <f>_xlfn.CONCAT("Kostprijs bemesting ",C56," (EUR/ha)")</f>
        <v>Kostprijs bemesting  (EUR/ha)</v>
      </c>
      <c r="AK61" s="147" t="str">
        <f>_xlfn.CONCAT("Kostprijs bemesting ",C57," (EUR/ha)")</f>
        <v>Kostprijs bemesting  (EUR/ha)</v>
      </c>
      <c r="AL61" s="147" t="str">
        <f>_xlfn.CONCAT("Kostprijs bemesting ",C58," (EUR/ha)")</f>
        <v>Kostprijs bemesting  (EUR/ha)</v>
      </c>
    </row>
    <row r="62" spans="1:38" ht="15" thickBot="1" x14ac:dyDescent="0.35">
      <c r="A62" s="128" t="s">
        <v>611</v>
      </c>
      <c r="C62" s="97" t="s">
        <v>465</v>
      </c>
      <c r="M62" s="43"/>
      <c r="T62" s="115"/>
      <c r="U62" s="76"/>
      <c r="V62" s="132"/>
      <c r="W62" s="133"/>
      <c r="Y62" s="147" t="str">
        <f>C45</f>
        <v/>
      </c>
      <c r="Z62" s="147" t="str">
        <f>C46</f>
        <v/>
      </c>
      <c r="AA62" s="147" t="str">
        <f>C47</f>
        <v/>
      </c>
      <c r="AB62" s="147" t="str">
        <f>C48</f>
        <v/>
      </c>
      <c r="AC62" s="147" t="str">
        <f>C49</f>
        <v/>
      </c>
      <c r="AD62" s="147" t="str">
        <f>C50</f>
        <v/>
      </c>
      <c r="AE62" s="147" t="str">
        <f>C51</f>
        <v/>
      </c>
      <c r="AF62" s="147" t="str">
        <f>C52</f>
        <v/>
      </c>
      <c r="AG62" s="147" t="str">
        <f>C53</f>
        <v/>
      </c>
      <c r="AH62" s="147" t="str">
        <f>C54</f>
        <v/>
      </c>
      <c r="AI62" s="147" t="str">
        <f>C55</f>
        <v/>
      </c>
      <c r="AJ62" s="147" t="str">
        <f>C56</f>
        <v/>
      </c>
      <c r="AK62" s="147" t="str">
        <f>C57</f>
        <v/>
      </c>
      <c r="AL62" s="147" t="str">
        <f>C58</f>
        <v/>
      </c>
    </row>
    <row r="63" spans="1:38" x14ac:dyDescent="0.3">
      <c r="A63" s="195"/>
      <c r="C63" s="198"/>
      <c r="D63" s="199"/>
      <c r="E63" s="35" t="str">
        <f>_xlfn.IFNA(VLOOKUP(C63,'Te gebruiken meststoffen'!$R$3:$AC$10,12,FALSE),"")</f>
        <v/>
      </c>
      <c r="F63" s="50">
        <f>D63*(IFERROR(VLOOKUP(C63,$C$45:$Q$58,3,FALSE),0))</f>
        <v>0</v>
      </c>
      <c r="G63" s="50">
        <f>O63</f>
        <v>0</v>
      </c>
      <c r="H63" s="50">
        <f t="shared" ref="H63:H68" si="16">D63*(IFERROR(VLOOKUP(C63,$C$45:$Q$58,5,FALSE),0))</f>
        <v>0</v>
      </c>
      <c r="I63" s="50">
        <f>D63*(IFERROR(VLOOKUP(C63,$C$45:$Q$58,6,FALSE),0))</f>
        <v>0</v>
      </c>
      <c r="J63" s="50">
        <f t="shared" ref="J63:J68" si="17">D63*(IFERROR(VLOOKUP(C63,$C$45:$Q$58,7,FALSE),0))</f>
        <v>0</v>
      </c>
      <c r="K63" s="50">
        <f t="shared" ref="K63:K68" si="18">D63*(IFERROR(VLOOKUP(C63,$C$45:$Q$58,8,FALSE),0))</f>
        <v>0</v>
      </c>
      <c r="L63" s="50">
        <f t="shared" ref="L63:L68" si="19">D63*(IFERROR(VLOOKUP(C63,$C$45:$Q$58,9,FALSE),0))</f>
        <v>0</v>
      </c>
      <c r="M63" s="51">
        <f t="shared" ref="M63:M68" si="20">D63*(IFERROR(VLOOKUP(C63,$C$45:$Q$58,10,FALSE),0))</f>
        <v>0</v>
      </c>
      <c r="N63">
        <f>O63</f>
        <v>0</v>
      </c>
      <c r="O63">
        <f t="shared" ref="O63:O68" si="21">D63*(IFERROR(VLOOKUP(C63,$C$45:$Q$58,12,FALSE),0))</f>
        <v>0</v>
      </c>
      <c r="P63">
        <f t="shared" ref="P63:P68" si="22">D63*(IFERROR(VLOOKUP(C63,$C$45:$Q$58,13,FALSE),0))</f>
        <v>0</v>
      </c>
      <c r="Q63">
        <f t="shared" ref="Q63:Q68" si="23">D63*(IFERROR(VLOOKUP(C63,$C$45:$Q$58,14,FALSE),0))</f>
        <v>0</v>
      </c>
      <c r="R63">
        <f t="shared" ref="R63:R68" si="24">D63*(IFERROR(VLOOKUP(C63,$C$45:$Q$58,15,FALSE),0))</f>
        <v>0</v>
      </c>
      <c r="S63">
        <f t="shared" ref="S63:S68" si="25">IF(F63&gt;0,F63,G63)</f>
        <v>0</v>
      </c>
      <c r="T63" s="34" t="str">
        <f>IF(D63="","",D63*$D$9)</f>
        <v/>
      </c>
      <c r="U63" s="35" t="str">
        <f>IF(D63="","",E63)</f>
        <v/>
      </c>
      <c r="V63" s="35" t="str">
        <f>IF(D63="","",D63*(VLOOKUP(C63,$C$45:$M$58,11,FALSE)))</f>
        <v/>
      </c>
      <c r="W63" s="36" t="str">
        <f>IF(T63="","",T63*(VLOOKUP(C63,$C$45:$M$58,11,FALSE)))</f>
        <v/>
      </c>
      <c r="Y63" s="147" t="str">
        <f>IF(C63=$C$45,V63,"")</f>
        <v/>
      </c>
      <c r="Z63" s="147" t="str">
        <f>IF(C63=$C$46,V63,"")</f>
        <v/>
      </c>
      <c r="AA63" s="147" t="str">
        <f>IF(C63=$C$47,V63,"")</f>
        <v/>
      </c>
      <c r="AB63" s="147" t="str">
        <f>IF(C63=$C$48,V63,"")</f>
        <v/>
      </c>
      <c r="AC63" s="147" t="str">
        <f>IF(C63=$C$49,V63,"")</f>
        <v/>
      </c>
      <c r="AD63" s="147" t="str">
        <f>IF(C63=$C$50,V63,"")</f>
        <v/>
      </c>
      <c r="AE63" s="147" t="str">
        <f>IF(C63=$C$51,V63,"")</f>
        <v/>
      </c>
      <c r="AF63" s="147" t="str">
        <f>IF(C63=$C$52,V63,"")</f>
        <v/>
      </c>
      <c r="AG63" s="147" t="str">
        <f>IF(C63=$C$53,V63,"")</f>
        <v/>
      </c>
      <c r="AH63" s="147" t="str">
        <f>IF(C63=$C$54,V63,"")</f>
        <v/>
      </c>
      <c r="AI63" s="147" t="str">
        <f>IF(C63=$C$55,V63,"")</f>
        <v/>
      </c>
      <c r="AJ63" s="147" t="str">
        <f>IF(C63=$C$56,V63,"")</f>
        <v/>
      </c>
      <c r="AK63" s="147" t="str">
        <f>IF(C63=$C$57,V63,"")</f>
        <v/>
      </c>
      <c r="AL63" s="147" t="str">
        <f>IF(C63=$C$58,V63,"")</f>
        <v/>
      </c>
    </row>
    <row r="64" spans="1:38" x14ac:dyDescent="0.3">
      <c r="A64" s="196"/>
      <c r="C64" s="200"/>
      <c r="D64" s="201"/>
      <c r="E64" t="str">
        <f>_xlfn.IFNA(VLOOKUP(C64,'Te gebruiken meststoffen'!$R$3:$AC$10,12,FALSE),"")</f>
        <v/>
      </c>
      <c r="F64" s="52">
        <f>D64*(IFERROR(VLOOKUP(C64,$C$45:$Q$58,3,FALSE),0))</f>
        <v>0</v>
      </c>
      <c r="G64" s="52">
        <f t="shared" ref="G64:G68" si="26">O64</f>
        <v>0</v>
      </c>
      <c r="H64" s="52">
        <f t="shared" si="16"/>
        <v>0</v>
      </c>
      <c r="I64" s="52">
        <f t="shared" ref="I64:I68" si="27">D64*(IFERROR(VLOOKUP(C64,$C$45:$Q$58,6,FALSE),0))</f>
        <v>0</v>
      </c>
      <c r="J64" s="52">
        <f t="shared" si="17"/>
        <v>0</v>
      </c>
      <c r="K64" s="52">
        <f t="shared" si="18"/>
        <v>0</v>
      </c>
      <c r="L64" s="52">
        <f t="shared" si="19"/>
        <v>0</v>
      </c>
      <c r="M64" s="53">
        <f t="shared" si="20"/>
        <v>0</v>
      </c>
      <c r="N64">
        <f>O64</f>
        <v>0</v>
      </c>
      <c r="O64">
        <f t="shared" si="21"/>
        <v>0</v>
      </c>
      <c r="P64">
        <f t="shared" si="22"/>
        <v>0</v>
      </c>
      <c r="Q64">
        <f t="shared" si="23"/>
        <v>0</v>
      </c>
      <c r="R64">
        <f t="shared" si="24"/>
        <v>0</v>
      </c>
      <c r="S64">
        <f t="shared" si="25"/>
        <v>0</v>
      </c>
      <c r="T64" s="40" t="str">
        <f t="shared" ref="T64:T68" si="28">IF(D64="","",D64*$D$9)</f>
        <v/>
      </c>
      <c r="U64" t="str">
        <f t="shared" ref="U64:U68" si="29">IF(D64="","",E64)</f>
        <v/>
      </c>
      <c r="V64" t="str">
        <f t="shared" ref="V64:V68" si="30">IF(D64="","",D64*(VLOOKUP(C64,$C$45:$M$58,11,FALSE)))</f>
        <v/>
      </c>
      <c r="W64" s="43" t="str">
        <f t="shared" ref="W64:W68" si="31">IF(T64="","",T64*(VLOOKUP(C64,$C$45:$M$58,11,FALSE)))</f>
        <v/>
      </c>
      <c r="Y64" s="147" t="str">
        <f t="shared" ref="Y64:Y108" si="32">IF(C64=$C$45,V64,"")</f>
        <v/>
      </c>
      <c r="Z64" s="147" t="str">
        <f t="shared" ref="Z64:Z108" si="33">IF(C64=$C$46,V64,"")</f>
        <v/>
      </c>
      <c r="AA64" s="147" t="str">
        <f t="shared" ref="AA64:AA108" si="34">IF(C64=$C$47,V64,"")</f>
        <v/>
      </c>
      <c r="AB64" s="147" t="str">
        <f t="shared" ref="AB64:AB108" si="35">IF(C64=$C$48,V64,"")</f>
        <v/>
      </c>
      <c r="AC64" s="147" t="str">
        <f t="shared" ref="AC64:AC108" si="36">IF(C64=$C$49,V64,"")</f>
        <v/>
      </c>
      <c r="AD64" s="147" t="str">
        <f t="shared" ref="AD64:AD108" si="37">IF(C64=$C$50,V64,"")</f>
        <v/>
      </c>
      <c r="AE64" s="147" t="str">
        <f t="shared" ref="AE64:AE108" si="38">IF(C64=$C$51,V64,"")</f>
        <v/>
      </c>
      <c r="AF64" s="147" t="str">
        <f t="shared" ref="AF64:AF108" si="39">IF(C64=$C$52,V64,"")</f>
        <v/>
      </c>
      <c r="AG64" s="147" t="str">
        <f t="shared" ref="AG64:AG108" si="40">IF(C64=$C$53,V64,"")</f>
        <v/>
      </c>
      <c r="AH64" s="147" t="str">
        <f t="shared" ref="AH64:AH108" si="41">IF(C64=$C$54,V64,"")</f>
        <v/>
      </c>
      <c r="AI64" s="147" t="str">
        <f t="shared" ref="AI64:AI108" si="42">IF(C64=$C$55,V64,"")</f>
        <v/>
      </c>
      <c r="AJ64" s="147" t="str">
        <f t="shared" ref="AJ64:AJ108" si="43">IF(C64=$C$56,V64,"")</f>
        <v/>
      </c>
      <c r="AK64" s="147" t="str">
        <f t="shared" ref="AK64:AK108" si="44">IF(C64=$C$57,V64,"")</f>
        <v/>
      </c>
      <c r="AL64" s="147" t="str">
        <f t="shared" ref="AL64:AL108" si="45">IF(C64=$C$58,V64,"")</f>
        <v/>
      </c>
    </row>
    <row r="65" spans="1:38" x14ac:dyDescent="0.3">
      <c r="A65" s="196"/>
      <c r="C65" s="200"/>
      <c r="D65" s="201"/>
      <c r="E65" t="str">
        <f>_xlfn.IFNA(VLOOKUP(C65,'Te gebruiken meststoffen'!$R$3:$AC$10,12,FALSE),"")</f>
        <v/>
      </c>
      <c r="F65" s="52">
        <f t="shared" ref="F65:F68" si="46">D65*(IFERROR(VLOOKUP(C65,$C$45:$Q$58,3,FALSE),0))</f>
        <v>0</v>
      </c>
      <c r="G65" s="52">
        <f t="shared" si="26"/>
        <v>0</v>
      </c>
      <c r="H65" s="52">
        <f t="shared" si="16"/>
        <v>0</v>
      </c>
      <c r="I65" s="52">
        <f t="shared" si="27"/>
        <v>0</v>
      </c>
      <c r="J65" s="52">
        <f t="shared" si="17"/>
        <v>0</v>
      </c>
      <c r="K65" s="52">
        <f t="shared" si="18"/>
        <v>0</v>
      </c>
      <c r="L65" s="52">
        <f t="shared" si="19"/>
        <v>0</v>
      </c>
      <c r="M65" s="53">
        <f t="shared" si="20"/>
        <v>0</v>
      </c>
      <c r="N65">
        <f t="shared" ref="N65:N68" si="47">O65</f>
        <v>0</v>
      </c>
      <c r="O65">
        <f t="shared" si="21"/>
        <v>0</v>
      </c>
      <c r="P65">
        <f t="shared" si="22"/>
        <v>0</v>
      </c>
      <c r="Q65">
        <f t="shared" si="23"/>
        <v>0</v>
      </c>
      <c r="R65">
        <f t="shared" si="24"/>
        <v>0</v>
      </c>
      <c r="S65">
        <f t="shared" si="25"/>
        <v>0</v>
      </c>
      <c r="T65" s="40" t="str">
        <f t="shared" si="28"/>
        <v/>
      </c>
      <c r="U65" t="str">
        <f t="shared" si="29"/>
        <v/>
      </c>
      <c r="V65" t="str">
        <f t="shared" si="30"/>
        <v/>
      </c>
      <c r="W65" s="43" t="str">
        <f t="shared" si="31"/>
        <v/>
      </c>
      <c r="Y65" s="147" t="str">
        <f t="shared" si="32"/>
        <v/>
      </c>
      <c r="Z65" s="147" t="str">
        <f t="shared" si="33"/>
        <v/>
      </c>
      <c r="AA65" s="147" t="str">
        <f t="shared" si="34"/>
        <v/>
      </c>
      <c r="AB65" s="147" t="str">
        <f t="shared" si="35"/>
        <v/>
      </c>
      <c r="AC65" s="147" t="str">
        <f t="shared" si="36"/>
        <v/>
      </c>
      <c r="AD65" s="147" t="str">
        <f t="shared" si="37"/>
        <v/>
      </c>
      <c r="AE65" s="147" t="str">
        <f t="shared" si="38"/>
        <v/>
      </c>
      <c r="AF65" s="147" t="str">
        <f t="shared" si="39"/>
        <v/>
      </c>
      <c r="AG65" s="147" t="str">
        <f t="shared" si="40"/>
        <v/>
      </c>
      <c r="AH65" s="147" t="str">
        <f t="shared" si="41"/>
        <v/>
      </c>
      <c r="AI65" s="147" t="str">
        <f t="shared" si="42"/>
        <v/>
      </c>
      <c r="AJ65" s="147" t="str">
        <f t="shared" si="43"/>
        <v/>
      </c>
      <c r="AK65" s="147" t="str">
        <f t="shared" si="44"/>
        <v/>
      </c>
      <c r="AL65" s="147" t="str">
        <f t="shared" si="45"/>
        <v/>
      </c>
    </row>
    <row r="66" spans="1:38" x14ac:dyDescent="0.3">
      <c r="A66" s="196"/>
      <c r="C66" s="200"/>
      <c r="D66" s="201"/>
      <c r="E66" t="str">
        <f>_xlfn.IFNA(VLOOKUP(C66,'Te gebruiken meststoffen'!$R$3:$AC$10,12,FALSE),"")</f>
        <v/>
      </c>
      <c r="F66" s="52">
        <f t="shared" si="46"/>
        <v>0</v>
      </c>
      <c r="G66" s="52">
        <f t="shared" si="26"/>
        <v>0</v>
      </c>
      <c r="H66" s="52">
        <f t="shared" si="16"/>
        <v>0</v>
      </c>
      <c r="I66" s="52">
        <f t="shared" si="27"/>
        <v>0</v>
      </c>
      <c r="J66" s="52">
        <f t="shared" si="17"/>
        <v>0</v>
      </c>
      <c r="K66" s="52">
        <f t="shared" si="18"/>
        <v>0</v>
      </c>
      <c r="L66" s="52">
        <f t="shared" si="19"/>
        <v>0</v>
      </c>
      <c r="M66" s="53">
        <f t="shared" si="20"/>
        <v>0</v>
      </c>
      <c r="N66">
        <f t="shared" si="47"/>
        <v>0</v>
      </c>
      <c r="O66">
        <f t="shared" si="21"/>
        <v>0</v>
      </c>
      <c r="P66">
        <f t="shared" si="22"/>
        <v>0</v>
      </c>
      <c r="Q66">
        <f t="shared" si="23"/>
        <v>0</v>
      </c>
      <c r="R66">
        <f t="shared" si="24"/>
        <v>0</v>
      </c>
      <c r="S66">
        <f t="shared" si="25"/>
        <v>0</v>
      </c>
      <c r="T66" s="40" t="str">
        <f t="shared" si="28"/>
        <v/>
      </c>
      <c r="U66" t="str">
        <f t="shared" si="29"/>
        <v/>
      </c>
      <c r="V66" t="str">
        <f t="shared" si="30"/>
        <v/>
      </c>
      <c r="W66" s="43" t="str">
        <f t="shared" si="31"/>
        <v/>
      </c>
      <c r="Y66" s="147" t="str">
        <f t="shared" si="32"/>
        <v/>
      </c>
      <c r="Z66" s="147" t="str">
        <f t="shared" si="33"/>
        <v/>
      </c>
      <c r="AA66" s="147" t="str">
        <f t="shared" si="34"/>
        <v/>
      </c>
      <c r="AB66" s="147" t="str">
        <f t="shared" si="35"/>
        <v/>
      </c>
      <c r="AC66" s="147" t="str">
        <f t="shared" si="36"/>
        <v/>
      </c>
      <c r="AD66" s="147" t="str">
        <f t="shared" si="37"/>
        <v/>
      </c>
      <c r="AE66" s="147" t="str">
        <f t="shared" si="38"/>
        <v/>
      </c>
      <c r="AF66" s="147" t="str">
        <f t="shared" si="39"/>
        <v/>
      </c>
      <c r="AG66" s="147" t="str">
        <f t="shared" si="40"/>
        <v/>
      </c>
      <c r="AH66" s="147" t="str">
        <f t="shared" si="41"/>
        <v/>
      </c>
      <c r="AI66" s="147" t="str">
        <f t="shared" si="42"/>
        <v/>
      </c>
      <c r="AJ66" s="147" t="str">
        <f t="shared" si="43"/>
        <v/>
      </c>
      <c r="AK66" s="147" t="str">
        <f t="shared" si="44"/>
        <v/>
      </c>
      <c r="AL66" s="147" t="str">
        <f t="shared" si="45"/>
        <v/>
      </c>
    </row>
    <row r="67" spans="1:38" x14ac:dyDescent="0.3">
      <c r="A67" s="196"/>
      <c r="C67" s="200"/>
      <c r="D67" s="201"/>
      <c r="E67" t="str">
        <f>_xlfn.IFNA(VLOOKUP(C67,'Te gebruiken meststoffen'!$R$3:$AC$10,12,FALSE),"")</f>
        <v/>
      </c>
      <c r="F67" s="52">
        <f t="shared" si="46"/>
        <v>0</v>
      </c>
      <c r="G67" s="52">
        <f t="shared" si="26"/>
        <v>0</v>
      </c>
      <c r="H67" s="52">
        <f t="shared" si="16"/>
        <v>0</v>
      </c>
      <c r="I67" s="52">
        <f t="shared" si="27"/>
        <v>0</v>
      </c>
      <c r="J67" s="52">
        <f t="shared" si="17"/>
        <v>0</v>
      </c>
      <c r="K67" s="52">
        <f t="shared" si="18"/>
        <v>0</v>
      </c>
      <c r="L67" s="52">
        <f t="shared" si="19"/>
        <v>0</v>
      </c>
      <c r="M67" s="53">
        <f t="shared" si="20"/>
        <v>0</v>
      </c>
      <c r="N67">
        <f t="shared" si="47"/>
        <v>0</v>
      </c>
      <c r="O67">
        <f t="shared" si="21"/>
        <v>0</v>
      </c>
      <c r="P67">
        <f t="shared" si="22"/>
        <v>0</v>
      </c>
      <c r="Q67">
        <f t="shared" si="23"/>
        <v>0</v>
      </c>
      <c r="R67">
        <f t="shared" si="24"/>
        <v>0</v>
      </c>
      <c r="S67">
        <f t="shared" si="25"/>
        <v>0</v>
      </c>
      <c r="T67" s="40" t="str">
        <f t="shared" si="28"/>
        <v/>
      </c>
      <c r="U67" t="str">
        <f t="shared" si="29"/>
        <v/>
      </c>
      <c r="V67" t="str">
        <f>IF(D67="","",D67*(VLOOKUP(C67,$C$45:$M$58,11,FALSE)))</f>
        <v/>
      </c>
      <c r="W67" s="43" t="str">
        <f t="shared" si="31"/>
        <v/>
      </c>
      <c r="Y67" s="147" t="str">
        <f t="shared" si="32"/>
        <v/>
      </c>
      <c r="Z67" s="147" t="str">
        <f t="shared" si="33"/>
        <v/>
      </c>
      <c r="AA67" s="147" t="str">
        <f t="shared" si="34"/>
        <v/>
      </c>
      <c r="AB67" s="147" t="str">
        <f t="shared" si="35"/>
        <v/>
      </c>
      <c r="AC67" s="147" t="str">
        <f t="shared" si="36"/>
        <v/>
      </c>
      <c r="AD67" s="147" t="str">
        <f t="shared" si="37"/>
        <v/>
      </c>
      <c r="AE67" s="147" t="str">
        <f t="shared" si="38"/>
        <v/>
      </c>
      <c r="AF67" s="147" t="str">
        <f t="shared" si="39"/>
        <v/>
      </c>
      <c r="AG67" s="147" t="str">
        <f t="shared" si="40"/>
        <v/>
      </c>
      <c r="AH67" s="147" t="str">
        <f t="shared" si="41"/>
        <v/>
      </c>
      <c r="AI67" s="147" t="str">
        <f t="shared" si="42"/>
        <v/>
      </c>
      <c r="AJ67" s="147" t="str">
        <f t="shared" si="43"/>
        <v/>
      </c>
      <c r="AK67" s="147" t="str">
        <f t="shared" si="44"/>
        <v/>
      </c>
      <c r="AL67" s="147" t="str">
        <f t="shared" si="45"/>
        <v/>
      </c>
    </row>
    <row r="68" spans="1:38" ht="15" thickBot="1" x14ac:dyDescent="0.35">
      <c r="A68" s="197"/>
      <c r="C68" s="202"/>
      <c r="D68" s="203"/>
      <c r="E68" s="38" t="str">
        <f>_xlfn.IFNA(VLOOKUP(C68,'Te gebruiken meststoffen'!$R$3:$AC$10,12,FALSE),"")</f>
        <v/>
      </c>
      <c r="F68" s="54">
        <f t="shared" si="46"/>
        <v>0</v>
      </c>
      <c r="G68" s="54">
        <f t="shared" si="26"/>
        <v>0</v>
      </c>
      <c r="H68" s="54">
        <f t="shared" si="16"/>
        <v>0</v>
      </c>
      <c r="I68" s="54">
        <f t="shared" si="27"/>
        <v>0</v>
      </c>
      <c r="J68" s="54">
        <f t="shared" si="17"/>
        <v>0</v>
      </c>
      <c r="K68" s="54">
        <f t="shared" si="18"/>
        <v>0</v>
      </c>
      <c r="L68" s="54">
        <f t="shared" si="19"/>
        <v>0</v>
      </c>
      <c r="M68" s="55">
        <f t="shared" si="20"/>
        <v>0</v>
      </c>
      <c r="N68">
        <f t="shared" si="47"/>
        <v>0</v>
      </c>
      <c r="O68">
        <f t="shared" si="21"/>
        <v>0</v>
      </c>
      <c r="P68">
        <f t="shared" si="22"/>
        <v>0</v>
      </c>
      <c r="Q68">
        <f t="shared" si="23"/>
        <v>0</v>
      </c>
      <c r="R68">
        <f t="shared" si="24"/>
        <v>0</v>
      </c>
      <c r="S68">
        <f t="shared" si="25"/>
        <v>0</v>
      </c>
      <c r="T68" s="37" t="str">
        <f t="shared" si="28"/>
        <v/>
      </c>
      <c r="U68" s="38" t="str">
        <f t="shared" si="29"/>
        <v/>
      </c>
      <c r="V68" s="38" t="str">
        <f t="shared" si="30"/>
        <v/>
      </c>
      <c r="W68" s="39" t="str">
        <f t="shared" si="31"/>
        <v/>
      </c>
      <c r="Y68" s="147" t="str">
        <f t="shared" si="32"/>
        <v/>
      </c>
      <c r="Z68" s="147" t="str">
        <f t="shared" si="33"/>
        <v/>
      </c>
      <c r="AA68" s="147" t="str">
        <f t="shared" si="34"/>
        <v/>
      </c>
      <c r="AB68" s="147" t="str">
        <f t="shared" si="35"/>
        <v/>
      </c>
      <c r="AC68" s="147" t="str">
        <f t="shared" si="36"/>
        <v/>
      </c>
      <c r="AD68" s="147" t="str">
        <f t="shared" si="37"/>
        <v/>
      </c>
      <c r="AE68" s="147" t="str">
        <f t="shared" si="38"/>
        <v/>
      </c>
      <c r="AF68" s="147" t="str">
        <f t="shared" si="39"/>
        <v/>
      </c>
      <c r="AG68" s="147" t="str">
        <f t="shared" si="40"/>
        <v/>
      </c>
      <c r="AH68" s="147" t="str">
        <f t="shared" si="41"/>
        <v/>
      </c>
      <c r="AI68" s="147" t="str">
        <f t="shared" si="42"/>
        <v/>
      </c>
      <c r="AJ68" s="147" t="str">
        <f t="shared" si="43"/>
        <v/>
      </c>
      <c r="AK68" s="147" t="str">
        <f t="shared" si="44"/>
        <v/>
      </c>
      <c r="AL68" s="147" t="str">
        <f t="shared" si="45"/>
        <v/>
      </c>
    </row>
    <row r="69" spans="1:38" ht="15" thickBot="1" x14ac:dyDescent="0.35">
      <c r="C69" s="37"/>
      <c r="D69" s="38"/>
      <c r="E69" s="109" t="s">
        <v>504</v>
      </c>
      <c r="F69" s="110">
        <f t="shared" ref="F69:M69" si="48">SUM(F63:F68)</f>
        <v>0</v>
      </c>
      <c r="G69" s="110">
        <f>SUM(G63:G68)</f>
        <v>0</v>
      </c>
      <c r="H69" s="110">
        <f t="shared" si="48"/>
        <v>0</v>
      </c>
      <c r="I69" s="110">
        <f t="shared" si="48"/>
        <v>0</v>
      </c>
      <c r="J69" s="110">
        <f t="shared" si="48"/>
        <v>0</v>
      </c>
      <c r="K69" s="110">
        <f t="shared" si="48"/>
        <v>0</v>
      </c>
      <c r="L69" s="110">
        <f t="shared" si="48"/>
        <v>0</v>
      </c>
      <c r="M69" s="111">
        <f t="shared" si="48"/>
        <v>0</v>
      </c>
      <c r="N69" s="60">
        <f>SUM(O63:O68)</f>
        <v>0</v>
      </c>
      <c r="S69">
        <f>SUM(S63:S68)</f>
        <v>0</v>
      </c>
      <c r="T69" s="138"/>
      <c r="U69" s="139"/>
      <c r="V69" s="139">
        <f>SUM(V63:V68)</f>
        <v>0</v>
      </c>
      <c r="W69" s="140">
        <f>SUM(W63:W68)</f>
        <v>0</v>
      </c>
      <c r="Y69" s="147"/>
      <c r="Z69" s="147"/>
      <c r="AA69" s="147"/>
      <c r="AB69" s="147"/>
      <c r="AC69" s="147"/>
      <c r="AD69" s="147"/>
      <c r="AE69" s="147"/>
      <c r="AF69" s="147"/>
      <c r="AG69" s="147"/>
      <c r="AH69" s="147"/>
      <c r="AI69" s="147"/>
      <c r="AJ69" s="147"/>
      <c r="AK69" s="147"/>
      <c r="AL69" s="147"/>
    </row>
    <row r="70" spans="1:38" ht="15" thickBot="1" x14ac:dyDescent="0.35">
      <c r="A70" s="128" t="s">
        <v>611</v>
      </c>
      <c r="C70" s="115" t="s">
        <v>499</v>
      </c>
      <c r="D70" s="113" t="s">
        <v>619</v>
      </c>
      <c r="E70" s="76"/>
      <c r="F70" s="76"/>
      <c r="G70" s="146">
        <f>N77-SUM(G71:G76)</f>
        <v>0</v>
      </c>
      <c r="H70" s="76"/>
      <c r="I70" s="76"/>
      <c r="J70" s="76"/>
      <c r="K70" s="76"/>
      <c r="L70" s="76"/>
      <c r="M70" s="77"/>
      <c r="S70">
        <f>SUM(S71:S76)</f>
        <v>0</v>
      </c>
      <c r="T70" s="75"/>
      <c r="U70" s="76"/>
      <c r="V70" s="76"/>
      <c r="W70" s="77"/>
      <c r="Y70" s="147"/>
      <c r="Z70" s="147"/>
      <c r="AA70" s="147"/>
      <c r="AB70" s="147"/>
      <c r="AC70" s="147"/>
      <c r="AD70" s="147"/>
      <c r="AE70" s="147"/>
      <c r="AF70" s="147"/>
      <c r="AG70" s="147"/>
      <c r="AH70" s="147"/>
      <c r="AI70" s="147"/>
      <c r="AJ70" s="147"/>
      <c r="AK70" s="147"/>
      <c r="AL70" s="147"/>
    </row>
    <row r="71" spans="1:38" x14ac:dyDescent="0.3">
      <c r="A71" s="195"/>
      <c r="C71" s="198"/>
      <c r="D71" s="199"/>
      <c r="E71" s="35" t="str">
        <f>_xlfn.IFNA(VLOOKUP(C71,'Te gebruiken meststoffen'!$R$3:$AC$10,12,FALSE),"")</f>
        <v/>
      </c>
      <c r="F71" s="50">
        <f t="shared" ref="F71:F76" si="49">D71*(IFERROR(VLOOKUP(C71,$C$45:$Q$58,3,FALSE),0))</f>
        <v>0</v>
      </c>
      <c r="G71" s="50">
        <f>O71</f>
        <v>0</v>
      </c>
      <c r="H71" s="50">
        <f t="shared" ref="H71:H76" si="50">D71*(IFERROR(VLOOKUP(C71,$C$45:$Q$58,5,FALSE),0))</f>
        <v>0</v>
      </c>
      <c r="I71" s="50">
        <f t="shared" ref="I71:I76" si="51">D71*(IFERROR(VLOOKUP(C71,$C$45:$Q$58,6,FALSE),0))</f>
        <v>0</v>
      </c>
      <c r="J71" s="50">
        <f t="shared" ref="J71:J76" si="52">D71*(IFERROR(VLOOKUP(C71,$C$45:$Q$58,7,FALSE),0))</f>
        <v>0</v>
      </c>
      <c r="K71" s="50">
        <f t="shared" ref="K71:K76" si="53">D71*(IFERROR(VLOOKUP(C71,$C$45:$Q$58,8,FALSE),0))</f>
        <v>0</v>
      </c>
      <c r="L71" s="50">
        <f t="shared" ref="L71:L76" si="54">D71*(IFERROR(VLOOKUP(C71,$C$45:$Q$58,9,FALSE),0))</f>
        <v>0</v>
      </c>
      <c r="M71" s="51">
        <f t="shared" ref="M71:M76" si="55">D71*(IFERROR(VLOOKUP(C71,$C$45:$Q$58,10,FALSE),0))</f>
        <v>0</v>
      </c>
      <c r="N71">
        <f>O71+P63</f>
        <v>0</v>
      </c>
      <c r="O71">
        <f t="shared" ref="O71:O76" si="56">D71*(IFERROR(VLOOKUP(C71,$C$45:$Q$58,12,FALSE),0))</f>
        <v>0</v>
      </c>
      <c r="P71">
        <f t="shared" ref="P71:P76" si="57">D71*(IFERROR(VLOOKUP(C71,$C$45:$Q$58,13,FALSE),0))</f>
        <v>0</v>
      </c>
      <c r="Q71">
        <f t="shared" ref="Q71:Q76" si="58">D71*(IFERROR(VLOOKUP(C71,$C$45:$Q$58,14,FALSE),0))</f>
        <v>0</v>
      </c>
      <c r="R71">
        <f t="shared" ref="R71:R76" si="59">D71*(IFERROR(VLOOKUP(C71,$C$45:$Q$58,15,FALSE),0))</f>
        <v>0</v>
      </c>
      <c r="S71">
        <f t="shared" ref="S71:S76" si="60">IF(F71&gt;0,F71,G71)</f>
        <v>0</v>
      </c>
      <c r="T71" s="34" t="str">
        <f>IF(D71="","",D71*$D$9)</f>
        <v/>
      </c>
      <c r="U71" s="35" t="str">
        <f>IF(D71="","",E71)</f>
        <v/>
      </c>
      <c r="V71" s="35" t="str">
        <f>IF(D71="","",D71*(VLOOKUP(C71,$C$45:$M$58,11,FALSE)))</f>
        <v/>
      </c>
      <c r="W71" s="36" t="str">
        <f>IF(T71="","",T71*(VLOOKUP(C71,$C$45:$M$58,11,FALSE)))</f>
        <v/>
      </c>
      <c r="Y71" s="147" t="str">
        <f t="shared" si="32"/>
        <v/>
      </c>
      <c r="Z71" s="147" t="str">
        <f t="shared" si="33"/>
        <v/>
      </c>
      <c r="AA71" s="147" t="str">
        <f t="shared" si="34"/>
        <v/>
      </c>
      <c r="AB71" s="147" t="str">
        <f t="shared" si="35"/>
        <v/>
      </c>
      <c r="AC71" s="147" t="str">
        <f t="shared" si="36"/>
        <v/>
      </c>
      <c r="AD71" s="147" t="str">
        <f t="shared" si="37"/>
        <v/>
      </c>
      <c r="AE71" s="147" t="str">
        <f t="shared" si="38"/>
        <v/>
      </c>
      <c r="AF71" s="147" t="str">
        <f t="shared" si="39"/>
        <v/>
      </c>
      <c r="AG71" s="147" t="str">
        <f t="shared" si="40"/>
        <v/>
      </c>
      <c r="AH71" s="147" t="str">
        <f t="shared" si="41"/>
        <v/>
      </c>
      <c r="AI71" s="147" t="str">
        <f t="shared" si="42"/>
        <v/>
      </c>
      <c r="AJ71" s="147" t="str">
        <f t="shared" si="43"/>
        <v/>
      </c>
      <c r="AK71" s="147" t="str">
        <f t="shared" si="44"/>
        <v/>
      </c>
      <c r="AL71" s="147" t="str">
        <f t="shared" si="45"/>
        <v/>
      </c>
    </row>
    <row r="72" spans="1:38" x14ac:dyDescent="0.3">
      <c r="A72" s="196"/>
      <c r="C72" s="200"/>
      <c r="D72" s="201"/>
      <c r="E72" t="str">
        <f>_xlfn.IFNA(VLOOKUP(C72,'Te gebruiken meststoffen'!$R$3:$AC$10,12,FALSE),"")</f>
        <v/>
      </c>
      <c r="F72" s="52">
        <f t="shared" si="49"/>
        <v>0</v>
      </c>
      <c r="G72" s="52">
        <f t="shared" ref="G72:G76" si="61">O72</f>
        <v>0</v>
      </c>
      <c r="H72" s="52">
        <f t="shared" si="50"/>
        <v>0</v>
      </c>
      <c r="I72" s="52">
        <f t="shared" si="51"/>
        <v>0</v>
      </c>
      <c r="J72" s="52">
        <f t="shared" si="52"/>
        <v>0</v>
      </c>
      <c r="K72" s="52">
        <f t="shared" si="53"/>
        <v>0</v>
      </c>
      <c r="L72" s="52">
        <f t="shared" si="54"/>
        <v>0</v>
      </c>
      <c r="M72" s="53">
        <f t="shared" si="55"/>
        <v>0</v>
      </c>
      <c r="N72">
        <f t="shared" ref="N72:N76" si="62">O72+P64</f>
        <v>0</v>
      </c>
      <c r="O72">
        <f t="shared" si="56"/>
        <v>0</v>
      </c>
      <c r="P72">
        <f t="shared" si="57"/>
        <v>0</v>
      </c>
      <c r="Q72">
        <f t="shared" si="58"/>
        <v>0</v>
      </c>
      <c r="R72">
        <f t="shared" si="59"/>
        <v>0</v>
      </c>
      <c r="S72">
        <f t="shared" si="60"/>
        <v>0</v>
      </c>
      <c r="T72" s="40" t="str">
        <f t="shared" ref="T72:T76" si="63">IF(D72="","",D72*$D$9)</f>
        <v/>
      </c>
      <c r="U72" t="str">
        <f t="shared" ref="U72:U76" si="64">IF(D72="","",E72)</f>
        <v/>
      </c>
      <c r="V72" t="str">
        <f t="shared" ref="V72:V76" si="65">IF(D72="","",D72*(VLOOKUP(C72,$C$45:$M$58,11,FALSE)))</f>
        <v/>
      </c>
      <c r="W72" s="43" t="str">
        <f t="shared" ref="W72:W76" si="66">IF(T72="","",T72*(VLOOKUP(C72,$C$45:$M$58,11,FALSE)))</f>
        <v/>
      </c>
      <c r="Y72" s="147" t="str">
        <f t="shared" si="32"/>
        <v/>
      </c>
      <c r="Z72" s="147" t="str">
        <f t="shared" si="33"/>
        <v/>
      </c>
      <c r="AA72" s="147" t="str">
        <f t="shared" si="34"/>
        <v/>
      </c>
      <c r="AB72" s="147" t="str">
        <f t="shared" si="35"/>
        <v/>
      </c>
      <c r="AC72" s="147" t="str">
        <f t="shared" si="36"/>
        <v/>
      </c>
      <c r="AD72" s="147" t="str">
        <f t="shared" si="37"/>
        <v/>
      </c>
      <c r="AE72" s="147" t="str">
        <f t="shared" si="38"/>
        <v/>
      </c>
      <c r="AF72" s="147" t="str">
        <f t="shared" si="39"/>
        <v/>
      </c>
      <c r="AG72" s="147" t="str">
        <f t="shared" si="40"/>
        <v/>
      </c>
      <c r="AH72" s="147" t="str">
        <f t="shared" si="41"/>
        <v/>
      </c>
      <c r="AI72" s="147" t="str">
        <f t="shared" si="42"/>
        <v/>
      </c>
      <c r="AJ72" s="147" t="str">
        <f t="shared" si="43"/>
        <v/>
      </c>
      <c r="AK72" s="147" t="str">
        <f t="shared" si="44"/>
        <v/>
      </c>
      <c r="AL72" s="147" t="str">
        <f t="shared" si="45"/>
        <v/>
      </c>
    </row>
    <row r="73" spans="1:38" x14ac:dyDescent="0.3">
      <c r="A73" s="196"/>
      <c r="C73" s="200"/>
      <c r="D73" s="201"/>
      <c r="E73" t="str">
        <f>_xlfn.IFNA(VLOOKUP(C73,'Te gebruiken meststoffen'!$R$3:$AC$10,12,FALSE),"")</f>
        <v/>
      </c>
      <c r="F73" s="52">
        <f t="shared" si="49"/>
        <v>0</v>
      </c>
      <c r="G73" s="52">
        <f t="shared" si="61"/>
        <v>0</v>
      </c>
      <c r="H73" s="52">
        <f t="shared" si="50"/>
        <v>0</v>
      </c>
      <c r="I73" s="52">
        <f t="shared" si="51"/>
        <v>0</v>
      </c>
      <c r="J73" s="52">
        <f t="shared" si="52"/>
        <v>0</v>
      </c>
      <c r="K73" s="52">
        <f t="shared" si="53"/>
        <v>0</v>
      </c>
      <c r="L73" s="52">
        <f t="shared" si="54"/>
        <v>0</v>
      </c>
      <c r="M73" s="53">
        <f t="shared" si="55"/>
        <v>0</v>
      </c>
      <c r="N73">
        <f t="shared" si="62"/>
        <v>0</v>
      </c>
      <c r="O73">
        <f t="shared" si="56"/>
        <v>0</v>
      </c>
      <c r="P73">
        <f t="shared" si="57"/>
        <v>0</v>
      </c>
      <c r="Q73">
        <f t="shared" si="58"/>
        <v>0</v>
      </c>
      <c r="R73">
        <f t="shared" si="59"/>
        <v>0</v>
      </c>
      <c r="S73">
        <f t="shared" si="60"/>
        <v>0</v>
      </c>
      <c r="T73" s="40" t="str">
        <f t="shared" si="63"/>
        <v/>
      </c>
      <c r="U73" t="str">
        <f t="shared" si="64"/>
        <v/>
      </c>
      <c r="V73" t="str">
        <f t="shared" si="65"/>
        <v/>
      </c>
      <c r="W73" s="43" t="str">
        <f t="shared" si="66"/>
        <v/>
      </c>
      <c r="Y73" s="147" t="str">
        <f t="shared" si="32"/>
        <v/>
      </c>
      <c r="Z73" s="147" t="str">
        <f t="shared" si="33"/>
        <v/>
      </c>
      <c r="AA73" s="147" t="str">
        <f t="shared" si="34"/>
        <v/>
      </c>
      <c r="AB73" s="147" t="str">
        <f t="shared" si="35"/>
        <v/>
      </c>
      <c r="AC73" s="147" t="str">
        <f t="shared" si="36"/>
        <v/>
      </c>
      <c r="AD73" s="147" t="str">
        <f t="shared" si="37"/>
        <v/>
      </c>
      <c r="AE73" s="147" t="str">
        <f t="shared" si="38"/>
        <v/>
      </c>
      <c r="AF73" s="147" t="str">
        <f t="shared" si="39"/>
        <v/>
      </c>
      <c r="AG73" s="147" t="str">
        <f t="shared" si="40"/>
        <v/>
      </c>
      <c r="AH73" s="147" t="str">
        <f t="shared" si="41"/>
        <v/>
      </c>
      <c r="AI73" s="147" t="str">
        <f t="shared" si="42"/>
        <v/>
      </c>
      <c r="AJ73" s="147" t="str">
        <f t="shared" si="43"/>
        <v/>
      </c>
      <c r="AK73" s="147" t="str">
        <f t="shared" si="44"/>
        <v/>
      </c>
      <c r="AL73" s="147" t="str">
        <f t="shared" si="45"/>
        <v/>
      </c>
    </row>
    <row r="74" spans="1:38" x14ac:dyDescent="0.3">
      <c r="A74" s="196"/>
      <c r="C74" s="200"/>
      <c r="D74" s="201"/>
      <c r="E74" t="str">
        <f>_xlfn.IFNA(VLOOKUP(C74,'Te gebruiken meststoffen'!$R$3:$AC$10,12,FALSE),"")</f>
        <v/>
      </c>
      <c r="F74" s="52">
        <f t="shared" si="49"/>
        <v>0</v>
      </c>
      <c r="G74" s="52">
        <f t="shared" si="61"/>
        <v>0</v>
      </c>
      <c r="H74" s="52">
        <f t="shared" si="50"/>
        <v>0</v>
      </c>
      <c r="I74" s="52">
        <f t="shared" si="51"/>
        <v>0</v>
      </c>
      <c r="J74" s="52">
        <f t="shared" si="52"/>
        <v>0</v>
      </c>
      <c r="K74" s="52">
        <f t="shared" si="53"/>
        <v>0</v>
      </c>
      <c r="L74" s="52">
        <f t="shared" si="54"/>
        <v>0</v>
      </c>
      <c r="M74" s="53">
        <f t="shared" si="55"/>
        <v>0</v>
      </c>
      <c r="N74">
        <f t="shared" si="62"/>
        <v>0</v>
      </c>
      <c r="O74">
        <f t="shared" si="56"/>
        <v>0</v>
      </c>
      <c r="P74">
        <f t="shared" si="57"/>
        <v>0</v>
      </c>
      <c r="Q74">
        <f t="shared" si="58"/>
        <v>0</v>
      </c>
      <c r="R74">
        <f t="shared" si="59"/>
        <v>0</v>
      </c>
      <c r="S74">
        <f t="shared" si="60"/>
        <v>0</v>
      </c>
      <c r="T74" s="40" t="str">
        <f t="shared" si="63"/>
        <v/>
      </c>
      <c r="U74" t="str">
        <f t="shared" si="64"/>
        <v/>
      </c>
      <c r="V74" t="str">
        <f t="shared" si="65"/>
        <v/>
      </c>
      <c r="W74" s="43" t="str">
        <f t="shared" si="66"/>
        <v/>
      </c>
      <c r="Y74" s="147" t="str">
        <f t="shared" si="32"/>
        <v/>
      </c>
      <c r="Z74" s="147" t="str">
        <f t="shared" si="33"/>
        <v/>
      </c>
      <c r="AA74" s="147" t="str">
        <f t="shared" si="34"/>
        <v/>
      </c>
      <c r="AB74" s="147" t="str">
        <f t="shared" si="35"/>
        <v/>
      </c>
      <c r="AC74" s="147" t="str">
        <f t="shared" si="36"/>
        <v/>
      </c>
      <c r="AD74" s="147" t="str">
        <f t="shared" si="37"/>
        <v/>
      </c>
      <c r="AE74" s="147" t="str">
        <f t="shared" si="38"/>
        <v/>
      </c>
      <c r="AF74" s="147" t="str">
        <f t="shared" si="39"/>
        <v/>
      </c>
      <c r="AG74" s="147" t="str">
        <f t="shared" si="40"/>
        <v/>
      </c>
      <c r="AH74" s="147" t="str">
        <f t="shared" si="41"/>
        <v/>
      </c>
      <c r="AI74" s="147" t="str">
        <f t="shared" si="42"/>
        <v/>
      </c>
      <c r="AJ74" s="147" t="str">
        <f t="shared" si="43"/>
        <v/>
      </c>
      <c r="AK74" s="147" t="str">
        <f t="shared" si="44"/>
        <v/>
      </c>
      <c r="AL74" s="147" t="str">
        <f t="shared" si="45"/>
        <v/>
      </c>
    </row>
    <row r="75" spans="1:38" x14ac:dyDescent="0.3">
      <c r="A75" s="196"/>
      <c r="C75" s="200"/>
      <c r="D75" s="201"/>
      <c r="E75" t="str">
        <f>_xlfn.IFNA(VLOOKUP(C75,'Te gebruiken meststoffen'!$R$3:$AC$10,12,FALSE),"")</f>
        <v/>
      </c>
      <c r="F75" s="52">
        <f t="shared" si="49"/>
        <v>0</v>
      </c>
      <c r="G75" s="52">
        <f t="shared" si="61"/>
        <v>0</v>
      </c>
      <c r="H75" s="52">
        <f t="shared" si="50"/>
        <v>0</v>
      </c>
      <c r="I75" s="52">
        <f t="shared" si="51"/>
        <v>0</v>
      </c>
      <c r="J75" s="52">
        <f t="shared" si="52"/>
        <v>0</v>
      </c>
      <c r="K75" s="52">
        <f t="shared" si="53"/>
        <v>0</v>
      </c>
      <c r="L75" s="52">
        <f t="shared" si="54"/>
        <v>0</v>
      </c>
      <c r="M75" s="53">
        <f t="shared" si="55"/>
        <v>0</v>
      </c>
      <c r="N75">
        <f t="shared" si="62"/>
        <v>0</v>
      </c>
      <c r="O75">
        <f t="shared" si="56"/>
        <v>0</v>
      </c>
      <c r="P75">
        <f t="shared" si="57"/>
        <v>0</v>
      </c>
      <c r="Q75">
        <f t="shared" si="58"/>
        <v>0</v>
      </c>
      <c r="R75">
        <f t="shared" si="59"/>
        <v>0</v>
      </c>
      <c r="S75">
        <f t="shared" si="60"/>
        <v>0</v>
      </c>
      <c r="T75" s="40" t="str">
        <f t="shared" si="63"/>
        <v/>
      </c>
      <c r="U75" t="str">
        <f t="shared" si="64"/>
        <v/>
      </c>
      <c r="V75" t="str">
        <f t="shared" si="65"/>
        <v/>
      </c>
      <c r="W75" s="43" t="str">
        <f t="shared" si="66"/>
        <v/>
      </c>
      <c r="Y75" s="147" t="str">
        <f t="shared" si="32"/>
        <v/>
      </c>
      <c r="Z75" s="147" t="str">
        <f t="shared" si="33"/>
        <v/>
      </c>
      <c r="AA75" s="147" t="str">
        <f t="shared" si="34"/>
        <v/>
      </c>
      <c r="AB75" s="147" t="str">
        <f t="shared" si="35"/>
        <v/>
      </c>
      <c r="AC75" s="147" t="str">
        <f t="shared" si="36"/>
        <v/>
      </c>
      <c r="AD75" s="147" t="str">
        <f t="shared" si="37"/>
        <v/>
      </c>
      <c r="AE75" s="147" t="str">
        <f t="shared" si="38"/>
        <v/>
      </c>
      <c r="AF75" s="147" t="str">
        <f t="shared" si="39"/>
        <v/>
      </c>
      <c r="AG75" s="147" t="str">
        <f t="shared" si="40"/>
        <v/>
      </c>
      <c r="AH75" s="147" t="str">
        <f t="shared" si="41"/>
        <v/>
      </c>
      <c r="AI75" s="147" t="str">
        <f t="shared" si="42"/>
        <v/>
      </c>
      <c r="AJ75" s="147" t="str">
        <f t="shared" si="43"/>
        <v/>
      </c>
      <c r="AK75" s="147" t="str">
        <f t="shared" si="44"/>
        <v/>
      </c>
      <c r="AL75" s="147" t="str">
        <f t="shared" si="45"/>
        <v/>
      </c>
    </row>
    <row r="76" spans="1:38" ht="15" thickBot="1" x14ac:dyDescent="0.35">
      <c r="A76" s="197"/>
      <c r="C76" s="200"/>
      <c r="D76" s="201"/>
      <c r="E76" t="str">
        <f>_xlfn.IFNA(VLOOKUP(C76,'Te gebruiken meststoffen'!$R$3:$AC$10,12,FALSE),"")</f>
        <v/>
      </c>
      <c r="F76" s="52">
        <f t="shared" si="49"/>
        <v>0</v>
      </c>
      <c r="G76" s="52">
        <f t="shared" si="61"/>
        <v>0</v>
      </c>
      <c r="H76" s="52">
        <f t="shared" si="50"/>
        <v>0</v>
      </c>
      <c r="I76" s="52">
        <f t="shared" si="51"/>
        <v>0</v>
      </c>
      <c r="J76" s="52">
        <f t="shared" si="52"/>
        <v>0</v>
      </c>
      <c r="K76" s="52">
        <f t="shared" si="53"/>
        <v>0</v>
      </c>
      <c r="L76" s="52">
        <f t="shared" si="54"/>
        <v>0</v>
      </c>
      <c r="M76" s="53">
        <f t="shared" si="55"/>
        <v>0</v>
      </c>
      <c r="N76">
        <f t="shared" si="62"/>
        <v>0</v>
      </c>
      <c r="O76">
        <f t="shared" si="56"/>
        <v>0</v>
      </c>
      <c r="P76">
        <f t="shared" si="57"/>
        <v>0</v>
      </c>
      <c r="Q76">
        <f t="shared" si="58"/>
        <v>0</v>
      </c>
      <c r="R76">
        <f t="shared" si="59"/>
        <v>0</v>
      </c>
      <c r="S76">
        <f t="shared" si="60"/>
        <v>0</v>
      </c>
      <c r="T76" s="134" t="str">
        <f t="shared" si="63"/>
        <v/>
      </c>
      <c r="U76" s="131" t="str">
        <f t="shared" si="64"/>
        <v/>
      </c>
      <c r="V76" s="131" t="str">
        <f t="shared" si="65"/>
        <v/>
      </c>
      <c r="W76" s="135" t="str">
        <f t="shared" si="66"/>
        <v/>
      </c>
      <c r="Y76" s="147" t="str">
        <f t="shared" si="32"/>
        <v/>
      </c>
      <c r="Z76" s="147" t="str">
        <f t="shared" si="33"/>
        <v/>
      </c>
      <c r="AA76" s="147" t="str">
        <f t="shared" si="34"/>
        <v/>
      </c>
      <c r="AB76" s="147" t="str">
        <f t="shared" si="35"/>
        <v/>
      </c>
      <c r="AC76" s="147" t="str">
        <f t="shared" si="36"/>
        <v/>
      </c>
      <c r="AD76" s="147" t="str">
        <f t="shared" si="37"/>
        <v/>
      </c>
      <c r="AE76" s="147" t="str">
        <f t="shared" si="38"/>
        <v/>
      </c>
      <c r="AF76" s="147" t="str">
        <f t="shared" si="39"/>
        <v/>
      </c>
      <c r="AG76" s="147" t="str">
        <f t="shared" si="40"/>
        <v/>
      </c>
      <c r="AH76" s="147" t="str">
        <f t="shared" si="41"/>
        <v/>
      </c>
      <c r="AI76" s="147" t="str">
        <f t="shared" si="42"/>
        <v/>
      </c>
      <c r="AJ76" s="147" t="str">
        <f t="shared" si="43"/>
        <v/>
      </c>
      <c r="AK76" s="147" t="str">
        <f t="shared" si="44"/>
        <v/>
      </c>
      <c r="AL76" s="147" t="str">
        <f t="shared" si="45"/>
        <v/>
      </c>
    </row>
    <row r="77" spans="1:38" ht="15" thickBot="1" x14ac:dyDescent="0.35">
      <c r="C77" s="75"/>
      <c r="D77" s="76"/>
      <c r="E77" s="56" t="s">
        <v>505</v>
      </c>
      <c r="F77" s="79">
        <f t="shared" ref="F77:M77" si="67">SUM(F71:F76)</f>
        <v>0</v>
      </c>
      <c r="G77" s="79">
        <f>SUM(G70:G76)</f>
        <v>0</v>
      </c>
      <c r="H77" s="79">
        <f t="shared" si="67"/>
        <v>0</v>
      </c>
      <c r="I77" s="79">
        <f t="shared" si="67"/>
        <v>0</v>
      </c>
      <c r="J77" s="79">
        <f t="shared" si="67"/>
        <v>0</v>
      </c>
      <c r="K77" s="79">
        <f t="shared" si="67"/>
        <v>0</v>
      </c>
      <c r="L77" s="79">
        <f t="shared" si="67"/>
        <v>0</v>
      </c>
      <c r="M77" s="112">
        <f t="shared" si="67"/>
        <v>0</v>
      </c>
      <c r="N77" s="60">
        <f>SUM(P63:P68,O71:O76)</f>
        <v>0</v>
      </c>
      <c r="T77" s="138"/>
      <c r="U77" s="139"/>
      <c r="V77" s="139">
        <f>SUM(V71:V76)</f>
        <v>0</v>
      </c>
      <c r="W77" s="140">
        <f>SUM(W71:W76)</f>
        <v>0</v>
      </c>
      <c r="Y77" s="147"/>
      <c r="Z77" s="147"/>
      <c r="AA77" s="147"/>
      <c r="AB77" s="147"/>
      <c r="AC77" s="147"/>
      <c r="AD77" s="147"/>
      <c r="AE77" s="147"/>
      <c r="AF77" s="147"/>
      <c r="AG77" s="147"/>
      <c r="AH77" s="147"/>
      <c r="AI77" s="147"/>
      <c r="AJ77" s="147"/>
      <c r="AK77" s="147"/>
      <c r="AL77" s="147"/>
    </row>
    <row r="78" spans="1:38" ht="15" thickBot="1" x14ac:dyDescent="0.35">
      <c r="A78" s="128" t="s">
        <v>611</v>
      </c>
      <c r="C78" s="128" t="s">
        <v>500</v>
      </c>
      <c r="D78" s="76" t="s">
        <v>620</v>
      </c>
      <c r="E78" s="76"/>
      <c r="F78" s="76"/>
      <c r="G78" s="146">
        <f>N85-SUM(G79:G84)</f>
        <v>0</v>
      </c>
      <c r="H78" s="76"/>
      <c r="I78" s="76"/>
      <c r="J78" s="76"/>
      <c r="K78" s="76"/>
      <c r="L78" s="76"/>
      <c r="M78" s="77"/>
      <c r="S78">
        <f>SUM(S79:S84)</f>
        <v>0</v>
      </c>
      <c r="T78" s="75"/>
      <c r="U78" s="76"/>
      <c r="V78" s="76"/>
      <c r="W78" s="77"/>
      <c r="Y78" s="147"/>
      <c r="Z78" s="147"/>
      <c r="AA78" s="147"/>
      <c r="AB78" s="147"/>
      <c r="AC78" s="147"/>
      <c r="AD78" s="147"/>
      <c r="AE78" s="147"/>
      <c r="AF78" s="147"/>
      <c r="AG78" s="147"/>
      <c r="AH78" s="147"/>
      <c r="AI78" s="147"/>
      <c r="AJ78" s="147"/>
      <c r="AK78" s="147"/>
      <c r="AL78" s="147"/>
    </row>
    <row r="79" spans="1:38" x14ac:dyDescent="0.3">
      <c r="A79" s="195"/>
      <c r="C79" s="198"/>
      <c r="D79" s="199"/>
      <c r="E79" s="35" t="str">
        <f>_xlfn.IFNA(VLOOKUP(C79,'Te gebruiken meststoffen'!$R$3:$AC$10,12,FALSE),"")</f>
        <v/>
      </c>
      <c r="F79" s="50">
        <f t="shared" ref="F79:F84" si="68">D79*(IFERROR(VLOOKUP(C79,$C$45:$Q$58,3,FALSE),0))</f>
        <v>0</v>
      </c>
      <c r="G79" s="50">
        <f>O79</f>
        <v>0</v>
      </c>
      <c r="H79" s="50">
        <f t="shared" ref="H79:H84" si="69">D79*(IFERROR(VLOOKUP(C79,$C$45:$Q$58,5,FALSE),0))</f>
        <v>0</v>
      </c>
      <c r="I79" s="50">
        <f t="shared" ref="I79:I84" si="70">D79*(IFERROR(VLOOKUP(C79,$C$45:$Q$58,6,FALSE),0))</f>
        <v>0</v>
      </c>
      <c r="J79" s="50">
        <f t="shared" ref="J79:J84" si="71">D79*(IFERROR(VLOOKUP(C79,$C$45:$Q$58,7,FALSE),0))</f>
        <v>0</v>
      </c>
      <c r="K79" s="50">
        <f t="shared" ref="K79:K84" si="72">D79*(IFERROR(VLOOKUP(C79,$C$45:$Q$58,8,FALSE),0))</f>
        <v>0</v>
      </c>
      <c r="L79" s="50">
        <f t="shared" ref="L79:L84" si="73">D79*(IFERROR(VLOOKUP(C79,$C$45:$Q$58,9,FALSE),0))</f>
        <v>0</v>
      </c>
      <c r="M79" s="51">
        <f t="shared" ref="M79:M84" si="74">D79*(IFERROR(VLOOKUP(C79,$C$45:$Q$58,10,FALSE),0))</f>
        <v>0</v>
      </c>
      <c r="N79">
        <f t="shared" ref="N79:N84" si="75">O79+P71+Q63</f>
        <v>0</v>
      </c>
      <c r="O79">
        <f t="shared" ref="O79:O84" si="76">D79*(IFERROR(VLOOKUP(C79,$C$45:$Q$58,12,FALSE),0))</f>
        <v>0</v>
      </c>
      <c r="P79">
        <f t="shared" ref="P79:P84" si="77">D79*(IFERROR(VLOOKUP(C79,$C$45:$Q$58,13,FALSE),0))</f>
        <v>0</v>
      </c>
      <c r="Q79">
        <f t="shared" ref="Q79:Q84" si="78">D79*(IFERROR(VLOOKUP(C79,$C$45:$Q$58,14,FALSE),0))</f>
        <v>0</v>
      </c>
      <c r="R79">
        <f t="shared" ref="R79:R84" si="79">D79*(IFERROR(VLOOKUP(C79,$C$45:$Q$58,15,FALSE),0))</f>
        <v>0</v>
      </c>
      <c r="S79">
        <f t="shared" ref="S79:S84" si="80">IF(F79&gt;0,F79,G79)</f>
        <v>0</v>
      </c>
      <c r="T79" s="34" t="str">
        <f>IF(D79="","",D79*$D$9)</f>
        <v/>
      </c>
      <c r="U79" s="35" t="str">
        <f>IF(D79="","",E79)</f>
        <v/>
      </c>
      <c r="V79" s="35" t="str">
        <f>IF(D79="","",D79*(VLOOKUP(C79,$C$45:$M$58,11,FALSE)))</f>
        <v/>
      </c>
      <c r="W79" s="36" t="str">
        <f>IF(T79="","",T79*(VLOOKUP(C79,$C$45:$M$58,11,FALSE)))</f>
        <v/>
      </c>
      <c r="Y79" s="147" t="str">
        <f t="shared" si="32"/>
        <v/>
      </c>
      <c r="Z79" s="147" t="str">
        <f t="shared" si="33"/>
        <v/>
      </c>
      <c r="AA79" s="147" t="str">
        <f t="shared" si="34"/>
        <v/>
      </c>
      <c r="AB79" s="147" t="str">
        <f t="shared" si="35"/>
        <v/>
      </c>
      <c r="AC79" s="147" t="str">
        <f t="shared" si="36"/>
        <v/>
      </c>
      <c r="AD79" s="147" t="str">
        <f t="shared" si="37"/>
        <v/>
      </c>
      <c r="AE79" s="147" t="str">
        <f t="shared" si="38"/>
        <v/>
      </c>
      <c r="AF79" s="147" t="str">
        <f t="shared" si="39"/>
        <v/>
      </c>
      <c r="AG79" s="147" t="str">
        <f t="shared" si="40"/>
        <v/>
      </c>
      <c r="AH79" s="147" t="str">
        <f t="shared" si="41"/>
        <v/>
      </c>
      <c r="AI79" s="147" t="str">
        <f t="shared" si="42"/>
        <v/>
      </c>
      <c r="AJ79" s="147" t="str">
        <f t="shared" si="43"/>
        <v/>
      </c>
      <c r="AK79" s="147" t="str">
        <f t="shared" si="44"/>
        <v/>
      </c>
      <c r="AL79" s="147" t="str">
        <f t="shared" si="45"/>
        <v/>
      </c>
    </row>
    <row r="80" spans="1:38" x14ac:dyDescent="0.3">
      <c r="A80" s="196"/>
      <c r="C80" s="200"/>
      <c r="D80" s="201"/>
      <c r="E80" t="str">
        <f>_xlfn.IFNA(VLOOKUP(C80,'Te gebruiken meststoffen'!$R$3:$AC$10,12,FALSE),"")</f>
        <v/>
      </c>
      <c r="F80" s="52">
        <f t="shared" si="68"/>
        <v>0</v>
      </c>
      <c r="G80" s="52">
        <f t="shared" ref="G80:G84" si="81">O80</f>
        <v>0</v>
      </c>
      <c r="H80" s="52">
        <f t="shared" si="69"/>
        <v>0</v>
      </c>
      <c r="I80" s="52">
        <f t="shared" si="70"/>
        <v>0</v>
      </c>
      <c r="J80" s="52">
        <f t="shared" si="71"/>
        <v>0</v>
      </c>
      <c r="K80" s="52">
        <f t="shared" si="72"/>
        <v>0</v>
      </c>
      <c r="L80" s="52">
        <f t="shared" si="73"/>
        <v>0</v>
      </c>
      <c r="M80" s="53">
        <f t="shared" si="74"/>
        <v>0</v>
      </c>
      <c r="N80">
        <f t="shared" si="75"/>
        <v>0</v>
      </c>
      <c r="O80">
        <f t="shared" si="76"/>
        <v>0</v>
      </c>
      <c r="P80">
        <f t="shared" si="77"/>
        <v>0</v>
      </c>
      <c r="Q80">
        <f t="shared" si="78"/>
        <v>0</v>
      </c>
      <c r="R80">
        <f t="shared" si="79"/>
        <v>0</v>
      </c>
      <c r="S80">
        <f t="shared" si="80"/>
        <v>0</v>
      </c>
      <c r="T80" s="40" t="str">
        <f t="shared" ref="T80:T84" si="82">IF(D80="","",D80*$D$9)</f>
        <v/>
      </c>
      <c r="U80" t="str">
        <f t="shared" ref="U80:U84" si="83">IF(D80="","",E80)</f>
        <v/>
      </c>
      <c r="V80" t="str">
        <f t="shared" ref="V80:V84" si="84">IF(D80="","",D80*(VLOOKUP(C80,$C$45:$M$58,11,FALSE)))</f>
        <v/>
      </c>
      <c r="W80" s="43" t="str">
        <f t="shared" ref="W80:W84" si="85">IF(T80="","",T80*(VLOOKUP(C80,$C$45:$M$58,11,FALSE)))</f>
        <v/>
      </c>
      <c r="Y80" s="147" t="str">
        <f t="shared" si="32"/>
        <v/>
      </c>
      <c r="Z80" s="147" t="str">
        <f t="shared" si="33"/>
        <v/>
      </c>
      <c r="AA80" s="147" t="str">
        <f t="shared" si="34"/>
        <v/>
      </c>
      <c r="AB80" s="147" t="str">
        <f t="shared" si="35"/>
        <v/>
      </c>
      <c r="AC80" s="147" t="str">
        <f t="shared" si="36"/>
        <v/>
      </c>
      <c r="AD80" s="147" t="str">
        <f t="shared" si="37"/>
        <v/>
      </c>
      <c r="AE80" s="147" t="str">
        <f t="shared" si="38"/>
        <v/>
      </c>
      <c r="AF80" s="147" t="str">
        <f t="shared" si="39"/>
        <v/>
      </c>
      <c r="AG80" s="147" t="str">
        <f t="shared" si="40"/>
        <v/>
      </c>
      <c r="AH80" s="147" t="str">
        <f t="shared" si="41"/>
        <v/>
      </c>
      <c r="AI80" s="147" t="str">
        <f t="shared" si="42"/>
        <v/>
      </c>
      <c r="AJ80" s="147" t="str">
        <f t="shared" si="43"/>
        <v/>
      </c>
      <c r="AK80" s="147" t="str">
        <f t="shared" si="44"/>
        <v/>
      </c>
      <c r="AL80" s="147" t="str">
        <f t="shared" si="45"/>
        <v/>
      </c>
    </row>
    <row r="81" spans="1:38" x14ac:dyDescent="0.3">
      <c r="A81" s="196"/>
      <c r="C81" s="200"/>
      <c r="D81" s="201"/>
      <c r="E81" t="str">
        <f>_xlfn.IFNA(VLOOKUP(C81,'Te gebruiken meststoffen'!$R$3:$AC$10,12,FALSE),"")</f>
        <v/>
      </c>
      <c r="F81" s="52">
        <f t="shared" si="68"/>
        <v>0</v>
      </c>
      <c r="G81" s="52">
        <f t="shared" si="81"/>
        <v>0</v>
      </c>
      <c r="H81" s="52">
        <f t="shared" si="69"/>
        <v>0</v>
      </c>
      <c r="I81" s="52">
        <f t="shared" si="70"/>
        <v>0</v>
      </c>
      <c r="J81" s="52">
        <f t="shared" si="71"/>
        <v>0</v>
      </c>
      <c r="K81" s="52">
        <f t="shared" si="72"/>
        <v>0</v>
      </c>
      <c r="L81" s="52">
        <f t="shared" si="73"/>
        <v>0</v>
      </c>
      <c r="M81" s="53">
        <f t="shared" si="74"/>
        <v>0</v>
      </c>
      <c r="N81">
        <f t="shared" si="75"/>
        <v>0</v>
      </c>
      <c r="O81">
        <f t="shared" si="76"/>
        <v>0</v>
      </c>
      <c r="P81">
        <f t="shared" si="77"/>
        <v>0</v>
      </c>
      <c r="Q81">
        <f t="shared" si="78"/>
        <v>0</v>
      </c>
      <c r="R81">
        <f t="shared" si="79"/>
        <v>0</v>
      </c>
      <c r="S81">
        <f t="shared" si="80"/>
        <v>0</v>
      </c>
      <c r="T81" s="40" t="str">
        <f t="shared" si="82"/>
        <v/>
      </c>
      <c r="U81" t="str">
        <f t="shared" si="83"/>
        <v/>
      </c>
      <c r="V81" t="str">
        <f t="shared" si="84"/>
        <v/>
      </c>
      <c r="W81" s="43" t="str">
        <f t="shared" si="85"/>
        <v/>
      </c>
      <c r="Y81" s="147" t="str">
        <f t="shared" si="32"/>
        <v/>
      </c>
      <c r="Z81" s="147" t="str">
        <f t="shared" si="33"/>
        <v/>
      </c>
      <c r="AA81" s="147" t="str">
        <f t="shared" si="34"/>
        <v/>
      </c>
      <c r="AB81" s="147" t="str">
        <f t="shared" si="35"/>
        <v/>
      </c>
      <c r="AC81" s="147" t="str">
        <f t="shared" si="36"/>
        <v/>
      </c>
      <c r="AD81" s="147" t="str">
        <f t="shared" si="37"/>
        <v/>
      </c>
      <c r="AE81" s="147" t="str">
        <f t="shared" si="38"/>
        <v/>
      </c>
      <c r="AF81" s="147" t="str">
        <f t="shared" si="39"/>
        <v/>
      </c>
      <c r="AG81" s="147" t="str">
        <f t="shared" si="40"/>
        <v/>
      </c>
      <c r="AH81" s="147" t="str">
        <f t="shared" si="41"/>
        <v/>
      </c>
      <c r="AI81" s="147" t="str">
        <f t="shared" si="42"/>
        <v/>
      </c>
      <c r="AJ81" s="147" t="str">
        <f t="shared" si="43"/>
        <v/>
      </c>
      <c r="AK81" s="147" t="str">
        <f t="shared" si="44"/>
        <v/>
      </c>
      <c r="AL81" s="147" t="str">
        <f t="shared" si="45"/>
        <v/>
      </c>
    </row>
    <row r="82" spans="1:38" x14ac:dyDescent="0.3">
      <c r="A82" s="196"/>
      <c r="C82" s="200"/>
      <c r="D82" s="201"/>
      <c r="E82" t="str">
        <f>_xlfn.IFNA(VLOOKUP(C82,'Te gebruiken meststoffen'!$R$3:$AC$10,12,FALSE),"")</f>
        <v/>
      </c>
      <c r="F82" s="52">
        <f t="shared" si="68"/>
        <v>0</v>
      </c>
      <c r="G82" s="52">
        <f t="shared" si="81"/>
        <v>0</v>
      </c>
      <c r="H82" s="52">
        <f t="shared" si="69"/>
        <v>0</v>
      </c>
      <c r="I82" s="52">
        <f t="shared" si="70"/>
        <v>0</v>
      </c>
      <c r="J82" s="52">
        <f t="shared" si="71"/>
        <v>0</v>
      </c>
      <c r="K82" s="52">
        <f t="shared" si="72"/>
        <v>0</v>
      </c>
      <c r="L82" s="52">
        <f t="shared" si="73"/>
        <v>0</v>
      </c>
      <c r="M82" s="53">
        <f t="shared" si="74"/>
        <v>0</v>
      </c>
      <c r="N82">
        <f t="shared" si="75"/>
        <v>0</v>
      </c>
      <c r="O82">
        <f t="shared" si="76"/>
        <v>0</v>
      </c>
      <c r="P82">
        <f t="shared" si="77"/>
        <v>0</v>
      </c>
      <c r="Q82">
        <f t="shared" si="78"/>
        <v>0</v>
      </c>
      <c r="R82">
        <f t="shared" si="79"/>
        <v>0</v>
      </c>
      <c r="S82">
        <f t="shared" si="80"/>
        <v>0</v>
      </c>
      <c r="T82" s="40" t="str">
        <f t="shared" si="82"/>
        <v/>
      </c>
      <c r="U82" t="str">
        <f t="shared" si="83"/>
        <v/>
      </c>
      <c r="V82" t="str">
        <f t="shared" si="84"/>
        <v/>
      </c>
      <c r="W82" s="43" t="str">
        <f t="shared" si="85"/>
        <v/>
      </c>
      <c r="Y82" s="147" t="str">
        <f t="shared" si="32"/>
        <v/>
      </c>
      <c r="Z82" s="147" t="str">
        <f t="shared" si="33"/>
        <v/>
      </c>
      <c r="AA82" s="147" t="str">
        <f t="shared" si="34"/>
        <v/>
      </c>
      <c r="AB82" s="147" t="str">
        <f t="shared" si="35"/>
        <v/>
      </c>
      <c r="AC82" s="147" t="str">
        <f t="shared" si="36"/>
        <v/>
      </c>
      <c r="AD82" s="147" t="str">
        <f t="shared" si="37"/>
        <v/>
      </c>
      <c r="AE82" s="147" t="str">
        <f t="shared" si="38"/>
        <v/>
      </c>
      <c r="AF82" s="147" t="str">
        <f t="shared" si="39"/>
        <v/>
      </c>
      <c r="AG82" s="147" t="str">
        <f t="shared" si="40"/>
        <v/>
      </c>
      <c r="AH82" s="147" t="str">
        <f t="shared" si="41"/>
        <v/>
      </c>
      <c r="AI82" s="147" t="str">
        <f t="shared" si="42"/>
        <v/>
      </c>
      <c r="AJ82" s="147" t="str">
        <f t="shared" si="43"/>
        <v/>
      </c>
      <c r="AK82" s="147" t="str">
        <f t="shared" si="44"/>
        <v/>
      </c>
      <c r="AL82" s="147" t="str">
        <f t="shared" si="45"/>
        <v/>
      </c>
    </row>
    <row r="83" spans="1:38" x14ac:dyDescent="0.3">
      <c r="A83" s="196"/>
      <c r="C83" s="200"/>
      <c r="D83" s="201"/>
      <c r="E83" t="str">
        <f>_xlfn.IFNA(VLOOKUP(C83,'Te gebruiken meststoffen'!$R$3:$AC$10,12,FALSE),"")</f>
        <v/>
      </c>
      <c r="F83" s="52">
        <f t="shared" si="68"/>
        <v>0</v>
      </c>
      <c r="G83" s="52">
        <f t="shared" si="81"/>
        <v>0</v>
      </c>
      <c r="H83" s="52">
        <f t="shared" si="69"/>
        <v>0</v>
      </c>
      <c r="I83" s="52">
        <f t="shared" si="70"/>
        <v>0</v>
      </c>
      <c r="J83" s="52">
        <f t="shared" si="71"/>
        <v>0</v>
      </c>
      <c r="K83" s="52">
        <f t="shared" si="72"/>
        <v>0</v>
      </c>
      <c r="L83" s="52">
        <f t="shared" si="73"/>
        <v>0</v>
      </c>
      <c r="M83" s="53">
        <f t="shared" si="74"/>
        <v>0</v>
      </c>
      <c r="N83">
        <f t="shared" si="75"/>
        <v>0</v>
      </c>
      <c r="O83">
        <f t="shared" si="76"/>
        <v>0</v>
      </c>
      <c r="P83">
        <f t="shared" si="77"/>
        <v>0</v>
      </c>
      <c r="Q83">
        <f t="shared" si="78"/>
        <v>0</v>
      </c>
      <c r="R83">
        <f t="shared" si="79"/>
        <v>0</v>
      </c>
      <c r="S83">
        <f t="shared" si="80"/>
        <v>0</v>
      </c>
      <c r="T83" s="40" t="str">
        <f t="shared" si="82"/>
        <v/>
      </c>
      <c r="U83" t="str">
        <f t="shared" si="83"/>
        <v/>
      </c>
      <c r="V83" t="str">
        <f t="shared" si="84"/>
        <v/>
      </c>
      <c r="W83" s="43" t="str">
        <f t="shared" si="85"/>
        <v/>
      </c>
      <c r="Y83" s="147" t="str">
        <f t="shared" si="32"/>
        <v/>
      </c>
      <c r="Z83" s="147" t="str">
        <f t="shared" si="33"/>
        <v/>
      </c>
      <c r="AA83" s="147" t="str">
        <f t="shared" si="34"/>
        <v/>
      </c>
      <c r="AB83" s="147" t="str">
        <f t="shared" si="35"/>
        <v/>
      </c>
      <c r="AC83" s="147" t="str">
        <f t="shared" si="36"/>
        <v/>
      </c>
      <c r="AD83" s="147" t="str">
        <f t="shared" si="37"/>
        <v/>
      </c>
      <c r="AE83" s="147" t="str">
        <f t="shared" si="38"/>
        <v/>
      </c>
      <c r="AF83" s="147" t="str">
        <f t="shared" si="39"/>
        <v/>
      </c>
      <c r="AG83" s="147" t="str">
        <f t="shared" si="40"/>
        <v/>
      </c>
      <c r="AH83" s="147" t="str">
        <f t="shared" si="41"/>
        <v/>
      </c>
      <c r="AI83" s="147" t="str">
        <f t="shared" si="42"/>
        <v/>
      </c>
      <c r="AJ83" s="147" t="str">
        <f t="shared" si="43"/>
        <v/>
      </c>
      <c r="AK83" s="147" t="str">
        <f t="shared" si="44"/>
        <v/>
      </c>
      <c r="AL83" s="147" t="str">
        <f t="shared" si="45"/>
        <v/>
      </c>
    </row>
    <row r="84" spans="1:38" ht="15" thickBot="1" x14ac:dyDescent="0.35">
      <c r="A84" s="197"/>
      <c r="C84" s="200"/>
      <c r="D84" s="201"/>
      <c r="E84" t="str">
        <f>_xlfn.IFNA(VLOOKUP(C84,'Te gebruiken meststoffen'!$R$3:$AC$10,12,FALSE),"")</f>
        <v/>
      </c>
      <c r="F84" s="52">
        <f t="shared" si="68"/>
        <v>0</v>
      </c>
      <c r="G84" s="52">
        <f t="shared" si="81"/>
        <v>0</v>
      </c>
      <c r="H84" s="52">
        <f t="shared" si="69"/>
        <v>0</v>
      </c>
      <c r="I84" s="52">
        <f t="shared" si="70"/>
        <v>0</v>
      </c>
      <c r="J84" s="52">
        <f t="shared" si="71"/>
        <v>0</v>
      </c>
      <c r="K84" s="52">
        <f t="shared" si="72"/>
        <v>0</v>
      </c>
      <c r="L84" s="52">
        <f t="shared" si="73"/>
        <v>0</v>
      </c>
      <c r="M84" s="53">
        <f t="shared" si="74"/>
        <v>0</v>
      </c>
      <c r="N84">
        <f t="shared" si="75"/>
        <v>0</v>
      </c>
      <c r="O84">
        <f t="shared" si="76"/>
        <v>0</v>
      </c>
      <c r="P84">
        <f t="shared" si="77"/>
        <v>0</v>
      </c>
      <c r="Q84">
        <f t="shared" si="78"/>
        <v>0</v>
      </c>
      <c r="R84">
        <f t="shared" si="79"/>
        <v>0</v>
      </c>
      <c r="S84">
        <f t="shared" si="80"/>
        <v>0</v>
      </c>
      <c r="T84" s="134" t="str">
        <f t="shared" si="82"/>
        <v/>
      </c>
      <c r="U84" s="131" t="str">
        <f t="shared" si="83"/>
        <v/>
      </c>
      <c r="V84" s="131" t="str">
        <f t="shared" si="84"/>
        <v/>
      </c>
      <c r="W84" s="135" t="str">
        <f t="shared" si="85"/>
        <v/>
      </c>
      <c r="Y84" s="147" t="str">
        <f t="shared" si="32"/>
        <v/>
      </c>
      <c r="Z84" s="147" t="str">
        <f t="shared" si="33"/>
        <v/>
      </c>
      <c r="AA84" s="147" t="str">
        <f t="shared" si="34"/>
        <v/>
      </c>
      <c r="AB84" s="147" t="str">
        <f t="shared" si="35"/>
        <v/>
      </c>
      <c r="AC84" s="147" t="str">
        <f t="shared" si="36"/>
        <v/>
      </c>
      <c r="AD84" s="147" t="str">
        <f t="shared" si="37"/>
        <v/>
      </c>
      <c r="AE84" s="147" t="str">
        <f t="shared" si="38"/>
        <v/>
      </c>
      <c r="AF84" s="147" t="str">
        <f t="shared" si="39"/>
        <v/>
      </c>
      <c r="AG84" s="147" t="str">
        <f t="shared" si="40"/>
        <v/>
      </c>
      <c r="AH84" s="147" t="str">
        <f t="shared" si="41"/>
        <v/>
      </c>
      <c r="AI84" s="147" t="str">
        <f t="shared" si="42"/>
        <v/>
      </c>
      <c r="AJ84" s="147" t="str">
        <f t="shared" si="43"/>
        <v/>
      </c>
      <c r="AK84" s="147" t="str">
        <f t="shared" si="44"/>
        <v/>
      </c>
      <c r="AL84" s="147" t="str">
        <f t="shared" si="45"/>
        <v/>
      </c>
    </row>
    <row r="85" spans="1:38" ht="15" thickBot="1" x14ac:dyDescent="0.35">
      <c r="C85" s="75"/>
      <c r="D85" s="76"/>
      <c r="E85" s="56" t="s">
        <v>506</v>
      </c>
      <c r="F85" s="79">
        <f t="shared" ref="F85:M85" si="86">SUM(F79:F84)</f>
        <v>0</v>
      </c>
      <c r="G85" s="79">
        <f>SUM(G78:G84)</f>
        <v>0</v>
      </c>
      <c r="H85" s="79">
        <f t="shared" si="86"/>
        <v>0</v>
      </c>
      <c r="I85" s="79">
        <f t="shared" si="86"/>
        <v>0</v>
      </c>
      <c r="J85" s="79">
        <f t="shared" si="86"/>
        <v>0</v>
      </c>
      <c r="K85" s="79">
        <f t="shared" si="86"/>
        <v>0</v>
      </c>
      <c r="L85" s="79">
        <f t="shared" si="86"/>
        <v>0</v>
      </c>
      <c r="M85" s="112">
        <f t="shared" si="86"/>
        <v>0</v>
      </c>
      <c r="N85" s="60">
        <f>SUM(O79:O84,P71:P76,Q63:Q68)</f>
        <v>0</v>
      </c>
      <c r="T85" s="138"/>
      <c r="U85" s="139"/>
      <c r="V85" s="139">
        <f>SUM(V79:V84)</f>
        <v>0</v>
      </c>
      <c r="W85" s="140">
        <f>SUM(W79:W84)</f>
        <v>0</v>
      </c>
      <c r="Y85" s="147"/>
      <c r="Z85" s="147"/>
      <c r="AA85" s="147"/>
      <c r="AB85" s="147"/>
      <c r="AC85" s="147"/>
      <c r="AD85" s="147"/>
      <c r="AE85" s="147"/>
      <c r="AF85" s="147"/>
      <c r="AG85" s="147"/>
      <c r="AH85" s="147"/>
      <c r="AI85" s="147"/>
      <c r="AJ85" s="147"/>
      <c r="AK85" s="147"/>
      <c r="AL85" s="147"/>
    </row>
    <row r="86" spans="1:38" ht="15" thickBot="1" x14ac:dyDescent="0.35">
      <c r="A86" s="128" t="s">
        <v>611</v>
      </c>
      <c r="C86" s="128" t="s">
        <v>501</v>
      </c>
      <c r="D86" s="76" t="s">
        <v>620</v>
      </c>
      <c r="E86" s="76"/>
      <c r="F86" s="76"/>
      <c r="G86" s="146">
        <f>N93-SUM(G87:G92)</f>
        <v>0</v>
      </c>
      <c r="H86" s="76"/>
      <c r="I86" s="76"/>
      <c r="J86" s="76"/>
      <c r="K86" s="76"/>
      <c r="L86" s="76"/>
      <c r="M86" s="77"/>
      <c r="S86">
        <f>SUM(S87:S92)</f>
        <v>0</v>
      </c>
      <c r="T86" s="75"/>
      <c r="U86" s="76"/>
      <c r="V86" s="76"/>
      <c r="W86" s="77"/>
      <c r="Y86" s="147"/>
      <c r="Z86" s="147"/>
      <c r="AA86" s="147"/>
      <c r="AB86" s="147"/>
      <c r="AC86" s="147"/>
      <c r="AD86" s="147"/>
      <c r="AE86" s="147"/>
      <c r="AF86" s="147"/>
      <c r="AG86" s="147"/>
      <c r="AH86" s="147"/>
      <c r="AI86" s="147"/>
      <c r="AJ86" s="147"/>
      <c r="AK86" s="147"/>
      <c r="AL86" s="147"/>
    </row>
    <row r="87" spans="1:38" x14ac:dyDescent="0.3">
      <c r="A87" s="195"/>
      <c r="C87" s="198"/>
      <c r="D87" s="199"/>
      <c r="E87" s="35" t="str">
        <f>_xlfn.IFNA(VLOOKUP(C87,'Te gebruiken meststoffen'!$R$3:$AC$10,12,FALSE),"")</f>
        <v/>
      </c>
      <c r="F87" s="50">
        <f t="shared" ref="F87:F92" si="87">D87*(IFERROR(VLOOKUP(C87,$C$45:$Q$58,3,FALSE),0))</f>
        <v>0</v>
      </c>
      <c r="G87" s="50">
        <f>O87</f>
        <v>0</v>
      </c>
      <c r="H87" s="50">
        <f t="shared" ref="H87:H92" si="88">D87*(IFERROR(VLOOKUP(C87,$C$45:$Q$58,5,FALSE),0))</f>
        <v>0</v>
      </c>
      <c r="I87" s="50">
        <f t="shared" ref="I87:I92" si="89">D87*(IFERROR(VLOOKUP(C87,$C$45:$Q$58,6,FALSE),0))</f>
        <v>0</v>
      </c>
      <c r="J87" s="50">
        <f t="shared" ref="J87:J92" si="90">D87*(IFERROR(VLOOKUP(C87,$C$45:$Q$58,7,FALSE),0))</f>
        <v>0</v>
      </c>
      <c r="K87" s="50">
        <f t="shared" ref="K87:K92" si="91">D87*(IFERROR(VLOOKUP(C87,$C$45:$Q$58,8,FALSE),0))</f>
        <v>0</v>
      </c>
      <c r="L87" s="50">
        <f t="shared" ref="L87:L92" si="92">D87*(IFERROR(VLOOKUP(C87,$C$45:$Q$58,9,FALSE),0))</f>
        <v>0</v>
      </c>
      <c r="M87" s="51">
        <f t="shared" ref="M87:M92" si="93">D87*(IFERROR(VLOOKUP(C87,$C$45:$Q$58,10,FALSE),0))</f>
        <v>0</v>
      </c>
      <c r="N87">
        <f>O87+P79+Q71+R63</f>
        <v>0</v>
      </c>
      <c r="O87">
        <f t="shared" ref="O87:O92" si="94">D87*(IFERROR(VLOOKUP(C87,$C$45:$Q$58,12,FALSE),0))</f>
        <v>0</v>
      </c>
      <c r="P87">
        <f t="shared" ref="P87:P92" si="95">D87*(IFERROR(VLOOKUP(C87,$C$45:$Q$58,13,FALSE),0))</f>
        <v>0</v>
      </c>
      <c r="Q87">
        <f t="shared" ref="Q87:Q92" si="96">D87*(IFERROR(VLOOKUP(C87,$C$45:$Q$58,14,FALSE),0))</f>
        <v>0</v>
      </c>
      <c r="R87" s="150">
        <f t="shared" ref="R87:R92" si="97">D87*(IFERROR(VLOOKUP(C87,$C$45:$Q$58,15,FALSE),0))</f>
        <v>0</v>
      </c>
      <c r="S87">
        <f t="shared" ref="S87:S92" si="98">IF(F87&gt;0,F87,G87)</f>
        <v>0</v>
      </c>
      <c r="T87" s="34" t="str">
        <f>IF(D87="","",D87*$D$9)</f>
        <v/>
      </c>
      <c r="U87" s="35" t="str">
        <f>IF(D87="","",E87)</f>
        <v/>
      </c>
      <c r="V87" s="35" t="str">
        <f>IF(D87="","",D87*(VLOOKUP(C87,$C$45:$M$58,11,FALSE)))</f>
        <v/>
      </c>
      <c r="W87" s="36" t="str">
        <f>IF(T87="","",T87*(VLOOKUP(C87,$C$45:$M$58,11,FALSE)))</f>
        <v/>
      </c>
      <c r="Y87" s="147" t="str">
        <f t="shared" si="32"/>
        <v/>
      </c>
      <c r="Z87" s="147" t="str">
        <f t="shared" si="33"/>
        <v/>
      </c>
      <c r="AA87" s="147" t="str">
        <f t="shared" si="34"/>
        <v/>
      </c>
      <c r="AB87" s="147" t="str">
        <f t="shared" si="35"/>
        <v/>
      </c>
      <c r="AC87" s="147" t="str">
        <f t="shared" si="36"/>
        <v/>
      </c>
      <c r="AD87" s="147" t="str">
        <f t="shared" si="37"/>
        <v/>
      </c>
      <c r="AE87" s="147" t="str">
        <f t="shared" si="38"/>
        <v/>
      </c>
      <c r="AF87" s="147" t="str">
        <f t="shared" si="39"/>
        <v/>
      </c>
      <c r="AG87" s="147" t="str">
        <f t="shared" si="40"/>
        <v/>
      </c>
      <c r="AH87" s="147" t="str">
        <f t="shared" si="41"/>
        <v/>
      </c>
      <c r="AI87" s="147" t="str">
        <f t="shared" si="42"/>
        <v/>
      </c>
      <c r="AJ87" s="147" t="str">
        <f t="shared" si="43"/>
        <v/>
      </c>
      <c r="AK87" s="147" t="str">
        <f t="shared" si="44"/>
        <v/>
      </c>
      <c r="AL87" s="147" t="str">
        <f t="shared" si="45"/>
        <v/>
      </c>
    </row>
    <row r="88" spans="1:38" x14ac:dyDescent="0.3">
      <c r="A88" s="196"/>
      <c r="C88" s="200"/>
      <c r="D88" s="201"/>
      <c r="E88" t="str">
        <f>_xlfn.IFNA(VLOOKUP(C88,'Te gebruiken meststoffen'!$R$3:$AC$10,12,FALSE),"")</f>
        <v/>
      </c>
      <c r="F88" s="52">
        <f t="shared" si="87"/>
        <v>0</v>
      </c>
      <c r="G88" s="52">
        <f t="shared" ref="G88:G92" si="99">O88</f>
        <v>0</v>
      </c>
      <c r="H88" s="52">
        <f t="shared" si="88"/>
        <v>0</v>
      </c>
      <c r="I88" s="52">
        <f t="shared" si="89"/>
        <v>0</v>
      </c>
      <c r="J88" s="52">
        <f t="shared" si="90"/>
        <v>0</v>
      </c>
      <c r="K88" s="52">
        <f t="shared" si="91"/>
        <v>0</v>
      </c>
      <c r="L88" s="52">
        <f t="shared" si="92"/>
        <v>0</v>
      </c>
      <c r="M88" s="53">
        <f t="shared" si="93"/>
        <v>0</v>
      </c>
      <c r="N88">
        <f>O88+P80+Q72+R64</f>
        <v>0</v>
      </c>
      <c r="O88">
        <f t="shared" si="94"/>
        <v>0</v>
      </c>
      <c r="P88">
        <f t="shared" si="95"/>
        <v>0</v>
      </c>
      <c r="Q88">
        <f t="shared" si="96"/>
        <v>0</v>
      </c>
      <c r="R88" s="150">
        <f t="shared" si="97"/>
        <v>0</v>
      </c>
      <c r="S88">
        <f t="shared" si="98"/>
        <v>0</v>
      </c>
      <c r="T88" s="40" t="str">
        <f t="shared" ref="T88:T92" si="100">IF(D88="","",D88*$D$9)</f>
        <v/>
      </c>
      <c r="U88" t="str">
        <f t="shared" ref="U88:U92" si="101">IF(D88="","",E88)</f>
        <v/>
      </c>
      <c r="V88" t="str">
        <f t="shared" ref="V88:V92" si="102">IF(D88="","",D88*(VLOOKUP(C88,$C$45:$M$58,11,FALSE)))</f>
        <v/>
      </c>
      <c r="W88" s="43" t="str">
        <f t="shared" ref="W88:W92" si="103">IF(T88="","",T88*(VLOOKUP(C88,$C$45:$M$58,11,FALSE)))</f>
        <v/>
      </c>
      <c r="Y88" s="147" t="str">
        <f t="shared" si="32"/>
        <v/>
      </c>
      <c r="Z88" s="147" t="str">
        <f t="shared" si="33"/>
        <v/>
      </c>
      <c r="AA88" s="147" t="str">
        <f t="shared" si="34"/>
        <v/>
      </c>
      <c r="AB88" s="147" t="str">
        <f t="shared" si="35"/>
        <v/>
      </c>
      <c r="AC88" s="147" t="str">
        <f t="shared" si="36"/>
        <v/>
      </c>
      <c r="AD88" s="147" t="str">
        <f t="shared" si="37"/>
        <v/>
      </c>
      <c r="AE88" s="147" t="str">
        <f t="shared" si="38"/>
        <v/>
      </c>
      <c r="AF88" s="147" t="str">
        <f t="shared" si="39"/>
        <v/>
      </c>
      <c r="AG88" s="147" t="str">
        <f t="shared" si="40"/>
        <v/>
      </c>
      <c r="AH88" s="147" t="str">
        <f t="shared" si="41"/>
        <v/>
      </c>
      <c r="AI88" s="147" t="str">
        <f t="shared" si="42"/>
        <v/>
      </c>
      <c r="AJ88" s="147" t="str">
        <f t="shared" si="43"/>
        <v/>
      </c>
      <c r="AK88" s="147" t="str">
        <f t="shared" si="44"/>
        <v/>
      </c>
      <c r="AL88" s="147" t="str">
        <f t="shared" si="45"/>
        <v/>
      </c>
    </row>
    <row r="89" spans="1:38" x14ac:dyDescent="0.3">
      <c r="A89" s="196"/>
      <c r="C89" s="200"/>
      <c r="D89" s="201"/>
      <c r="E89" t="str">
        <f>_xlfn.IFNA(VLOOKUP(C89,'Te gebruiken meststoffen'!$R$3:$AC$10,12,FALSE),"")</f>
        <v/>
      </c>
      <c r="F89" s="52">
        <f t="shared" si="87"/>
        <v>0</v>
      </c>
      <c r="G89" s="52">
        <f t="shared" si="99"/>
        <v>0</v>
      </c>
      <c r="H89" s="52">
        <f t="shared" si="88"/>
        <v>0</v>
      </c>
      <c r="I89" s="52">
        <f t="shared" si="89"/>
        <v>0</v>
      </c>
      <c r="J89" s="52">
        <f t="shared" si="90"/>
        <v>0</v>
      </c>
      <c r="K89" s="52">
        <f t="shared" si="91"/>
        <v>0</v>
      </c>
      <c r="L89" s="52">
        <f t="shared" si="92"/>
        <v>0</v>
      </c>
      <c r="M89" s="53">
        <f t="shared" si="93"/>
        <v>0</v>
      </c>
      <c r="N89">
        <f t="shared" ref="N89:N92" si="104">O89+P81+Q73+R65</f>
        <v>0</v>
      </c>
      <c r="O89">
        <f t="shared" si="94"/>
        <v>0</v>
      </c>
      <c r="P89">
        <f t="shared" si="95"/>
        <v>0</v>
      </c>
      <c r="Q89">
        <f t="shared" si="96"/>
        <v>0</v>
      </c>
      <c r="R89" s="150">
        <f t="shared" si="97"/>
        <v>0</v>
      </c>
      <c r="S89">
        <f t="shared" si="98"/>
        <v>0</v>
      </c>
      <c r="T89" s="40" t="str">
        <f t="shared" si="100"/>
        <v/>
      </c>
      <c r="U89" t="str">
        <f t="shared" si="101"/>
        <v/>
      </c>
      <c r="V89" t="str">
        <f t="shared" si="102"/>
        <v/>
      </c>
      <c r="W89" s="43" t="str">
        <f t="shared" si="103"/>
        <v/>
      </c>
      <c r="Y89" s="147" t="str">
        <f t="shared" si="32"/>
        <v/>
      </c>
      <c r="Z89" s="147" t="str">
        <f t="shared" si="33"/>
        <v/>
      </c>
      <c r="AA89" s="147" t="str">
        <f t="shared" si="34"/>
        <v/>
      </c>
      <c r="AB89" s="147" t="str">
        <f t="shared" si="35"/>
        <v/>
      </c>
      <c r="AC89" s="147" t="str">
        <f t="shared" si="36"/>
        <v/>
      </c>
      <c r="AD89" s="147" t="str">
        <f t="shared" si="37"/>
        <v/>
      </c>
      <c r="AE89" s="147" t="str">
        <f t="shared" si="38"/>
        <v/>
      </c>
      <c r="AF89" s="147" t="str">
        <f t="shared" si="39"/>
        <v/>
      </c>
      <c r="AG89" s="147" t="str">
        <f t="shared" si="40"/>
        <v/>
      </c>
      <c r="AH89" s="147" t="str">
        <f t="shared" si="41"/>
        <v/>
      </c>
      <c r="AI89" s="147" t="str">
        <f t="shared" si="42"/>
        <v/>
      </c>
      <c r="AJ89" s="147" t="str">
        <f t="shared" si="43"/>
        <v/>
      </c>
      <c r="AK89" s="147" t="str">
        <f t="shared" si="44"/>
        <v/>
      </c>
      <c r="AL89" s="147" t="str">
        <f t="shared" si="45"/>
        <v/>
      </c>
    </row>
    <row r="90" spans="1:38" x14ac:dyDescent="0.3">
      <c r="A90" s="196"/>
      <c r="C90" s="200"/>
      <c r="D90" s="201"/>
      <c r="E90" t="str">
        <f>_xlfn.IFNA(VLOOKUP(C90,'Te gebruiken meststoffen'!$R$3:$AC$10,12,FALSE),"")</f>
        <v/>
      </c>
      <c r="F90" s="52">
        <f t="shared" si="87"/>
        <v>0</v>
      </c>
      <c r="G90" s="52">
        <f t="shared" si="99"/>
        <v>0</v>
      </c>
      <c r="H90" s="52">
        <f t="shared" si="88"/>
        <v>0</v>
      </c>
      <c r="I90" s="52">
        <f t="shared" si="89"/>
        <v>0</v>
      </c>
      <c r="J90" s="52">
        <f t="shared" si="90"/>
        <v>0</v>
      </c>
      <c r="K90" s="52">
        <f t="shared" si="91"/>
        <v>0</v>
      </c>
      <c r="L90" s="52">
        <f t="shared" si="92"/>
        <v>0</v>
      </c>
      <c r="M90" s="53">
        <f t="shared" si="93"/>
        <v>0</v>
      </c>
      <c r="N90">
        <f t="shared" si="104"/>
        <v>0</v>
      </c>
      <c r="O90">
        <f t="shared" si="94"/>
        <v>0</v>
      </c>
      <c r="P90">
        <f t="shared" si="95"/>
        <v>0</v>
      </c>
      <c r="Q90">
        <f t="shared" si="96"/>
        <v>0</v>
      </c>
      <c r="R90" s="150">
        <f t="shared" si="97"/>
        <v>0</v>
      </c>
      <c r="S90">
        <f t="shared" si="98"/>
        <v>0</v>
      </c>
      <c r="T90" s="40" t="str">
        <f t="shared" si="100"/>
        <v/>
      </c>
      <c r="U90" t="str">
        <f t="shared" si="101"/>
        <v/>
      </c>
      <c r="V90" t="str">
        <f t="shared" si="102"/>
        <v/>
      </c>
      <c r="W90" s="43" t="str">
        <f t="shared" si="103"/>
        <v/>
      </c>
      <c r="Y90" s="147" t="str">
        <f t="shared" si="32"/>
        <v/>
      </c>
      <c r="Z90" s="147" t="str">
        <f t="shared" si="33"/>
        <v/>
      </c>
      <c r="AA90" s="147" t="str">
        <f t="shared" si="34"/>
        <v/>
      </c>
      <c r="AB90" s="147" t="str">
        <f t="shared" si="35"/>
        <v/>
      </c>
      <c r="AC90" s="147" t="str">
        <f t="shared" si="36"/>
        <v/>
      </c>
      <c r="AD90" s="147" t="str">
        <f t="shared" si="37"/>
        <v/>
      </c>
      <c r="AE90" s="147" t="str">
        <f t="shared" si="38"/>
        <v/>
      </c>
      <c r="AF90" s="147" t="str">
        <f t="shared" si="39"/>
        <v/>
      </c>
      <c r="AG90" s="147" t="str">
        <f t="shared" si="40"/>
        <v/>
      </c>
      <c r="AH90" s="147" t="str">
        <f t="shared" si="41"/>
        <v/>
      </c>
      <c r="AI90" s="147" t="str">
        <f t="shared" si="42"/>
        <v/>
      </c>
      <c r="AJ90" s="147" t="str">
        <f t="shared" si="43"/>
        <v/>
      </c>
      <c r="AK90" s="147" t="str">
        <f t="shared" si="44"/>
        <v/>
      </c>
      <c r="AL90" s="147" t="str">
        <f t="shared" si="45"/>
        <v/>
      </c>
    </row>
    <row r="91" spans="1:38" x14ac:dyDescent="0.3">
      <c r="A91" s="196"/>
      <c r="C91" s="200"/>
      <c r="D91" s="201"/>
      <c r="E91" t="str">
        <f>_xlfn.IFNA(VLOOKUP(C91,'Te gebruiken meststoffen'!$R$3:$AC$10,12,FALSE),"")</f>
        <v/>
      </c>
      <c r="F91" s="52">
        <f t="shared" si="87"/>
        <v>0</v>
      </c>
      <c r="G91" s="52">
        <f t="shared" si="99"/>
        <v>0</v>
      </c>
      <c r="H91" s="52">
        <f t="shared" si="88"/>
        <v>0</v>
      </c>
      <c r="I91" s="52">
        <f t="shared" si="89"/>
        <v>0</v>
      </c>
      <c r="J91" s="52">
        <f t="shared" si="90"/>
        <v>0</v>
      </c>
      <c r="K91" s="52">
        <f t="shared" si="91"/>
        <v>0</v>
      </c>
      <c r="L91" s="52">
        <f t="shared" si="92"/>
        <v>0</v>
      </c>
      <c r="M91" s="53">
        <f t="shared" si="93"/>
        <v>0</v>
      </c>
      <c r="N91">
        <f t="shared" si="104"/>
        <v>0</v>
      </c>
      <c r="O91">
        <f t="shared" si="94"/>
        <v>0</v>
      </c>
      <c r="P91">
        <f t="shared" si="95"/>
        <v>0</v>
      </c>
      <c r="Q91">
        <f t="shared" si="96"/>
        <v>0</v>
      </c>
      <c r="R91" s="150">
        <f t="shared" si="97"/>
        <v>0</v>
      </c>
      <c r="S91">
        <f t="shared" si="98"/>
        <v>0</v>
      </c>
      <c r="T91" s="40" t="str">
        <f t="shared" si="100"/>
        <v/>
      </c>
      <c r="U91" t="str">
        <f t="shared" si="101"/>
        <v/>
      </c>
      <c r="V91" t="str">
        <f t="shared" si="102"/>
        <v/>
      </c>
      <c r="W91" s="43" t="str">
        <f t="shared" si="103"/>
        <v/>
      </c>
      <c r="Y91" s="147" t="str">
        <f t="shared" si="32"/>
        <v/>
      </c>
      <c r="Z91" s="147" t="str">
        <f t="shared" si="33"/>
        <v/>
      </c>
      <c r="AA91" s="147" t="str">
        <f t="shared" si="34"/>
        <v/>
      </c>
      <c r="AB91" s="147" t="str">
        <f t="shared" si="35"/>
        <v/>
      </c>
      <c r="AC91" s="147" t="str">
        <f t="shared" si="36"/>
        <v/>
      </c>
      <c r="AD91" s="147" t="str">
        <f t="shared" si="37"/>
        <v/>
      </c>
      <c r="AE91" s="147" t="str">
        <f t="shared" si="38"/>
        <v/>
      </c>
      <c r="AF91" s="147" t="str">
        <f t="shared" si="39"/>
        <v/>
      </c>
      <c r="AG91" s="147" t="str">
        <f t="shared" si="40"/>
        <v/>
      </c>
      <c r="AH91" s="147" t="str">
        <f t="shared" si="41"/>
        <v/>
      </c>
      <c r="AI91" s="147" t="str">
        <f t="shared" si="42"/>
        <v/>
      </c>
      <c r="AJ91" s="147" t="str">
        <f t="shared" si="43"/>
        <v/>
      </c>
      <c r="AK91" s="147" t="str">
        <f t="shared" si="44"/>
        <v/>
      </c>
      <c r="AL91" s="147" t="str">
        <f t="shared" si="45"/>
        <v/>
      </c>
    </row>
    <row r="92" spans="1:38" ht="15" thickBot="1" x14ac:dyDescent="0.35">
      <c r="A92" s="197"/>
      <c r="C92" s="200"/>
      <c r="D92" s="201"/>
      <c r="E92" t="str">
        <f>_xlfn.IFNA(VLOOKUP(C92,'Te gebruiken meststoffen'!$R$3:$AC$10,12,FALSE),"")</f>
        <v/>
      </c>
      <c r="F92" s="52">
        <f t="shared" si="87"/>
        <v>0</v>
      </c>
      <c r="G92" s="52">
        <f t="shared" si="99"/>
        <v>0</v>
      </c>
      <c r="H92" s="52">
        <f t="shared" si="88"/>
        <v>0</v>
      </c>
      <c r="I92" s="52">
        <f t="shared" si="89"/>
        <v>0</v>
      </c>
      <c r="J92" s="52">
        <f t="shared" si="90"/>
        <v>0</v>
      </c>
      <c r="K92" s="52">
        <f t="shared" si="91"/>
        <v>0</v>
      </c>
      <c r="L92" s="52">
        <f t="shared" si="92"/>
        <v>0</v>
      </c>
      <c r="M92" s="53">
        <f t="shared" si="93"/>
        <v>0</v>
      </c>
      <c r="N92">
        <f t="shared" si="104"/>
        <v>0</v>
      </c>
      <c r="O92">
        <f t="shared" si="94"/>
        <v>0</v>
      </c>
      <c r="P92">
        <f t="shared" si="95"/>
        <v>0</v>
      </c>
      <c r="Q92">
        <f t="shared" si="96"/>
        <v>0</v>
      </c>
      <c r="R92" s="150">
        <f t="shared" si="97"/>
        <v>0</v>
      </c>
      <c r="S92">
        <f t="shared" si="98"/>
        <v>0</v>
      </c>
      <c r="T92" s="134" t="str">
        <f t="shared" si="100"/>
        <v/>
      </c>
      <c r="U92" s="131" t="str">
        <f t="shared" si="101"/>
        <v/>
      </c>
      <c r="V92" s="131" t="str">
        <f t="shared" si="102"/>
        <v/>
      </c>
      <c r="W92" s="135" t="str">
        <f t="shared" si="103"/>
        <v/>
      </c>
      <c r="Y92" s="147" t="str">
        <f t="shared" si="32"/>
        <v/>
      </c>
      <c r="Z92" s="147" t="str">
        <f t="shared" si="33"/>
        <v/>
      </c>
      <c r="AA92" s="147" t="str">
        <f t="shared" si="34"/>
        <v/>
      </c>
      <c r="AB92" s="147" t="str">
        <f t="shared" si="35"/>
        <v/>
      </c>
      <c r="AC92" s="147" t="str">
        <f t="shared" si="36"/>
        <v/>
      </c>
      <c r="AD92" s="147" t="str">
        <f t="shared" si="37"/>
        <v/>
      </c>
      <c r="AE92" s="147" t="str">
        <f t="shared" si="38"/>
        <v/>
      </c>
      <c r="AF92" s="147" t="str">
        <f t="shared" si="39"/>
        <v/>
      </c>
      <c r="AG92" s="147" t="str">
        <f t="shared" si="40"/>
        <v/>
      </c>
      <c r="AH92" s="147" t="str">
        <f t="shared" si="41"/>
        <v/>
      </c>
      <c r="AI92" s="147" t="str">
        <f t="shared" si="42"/>
        <v/>
      </c>
      <c r="AJ92" s="147" t="str">
        <f t="shared" si="43"/>
        <v/>
      </c>
      <c r="AK92" s="147" t="str">
        <f t="shared" si="44"/>
        <v/>
      </c>
      <c r="AL92" s="147" t="str">
        <f t="shared" si="45"/>
        <v/>
      </c>
    </row>
    <row r="93" spans="1:38" ht="15" thickBot="1" x14ac:dyDescent="0.35">
      <c r="C93" s="75"/>
      <c r="D93" s="76"/>
      <c r="E93" s="56" t="s">
        <v>507</v>
      </c>
      <c r="F93" s="79">
        <f t="shared" ref="F93:M93" si="105">SUM(F87:F92)</f>
        <v>0</v>
      </c>
      <c r="G93" s="79">
        <f>SUM(G86:G92)</f>
        <v>0</v>
      </c>
      <c r="H93" s="79">
        <f t="shared" si="105"/>
        <v>0</v>
      </c>
      <c r="I93" s="79">
        <f t="shared" si="105"/>
        <v>0</v>
      </c>
      <c r="J93" s="79">
        <f t="shared" si="105"/>
        <v>0</v>
      </c>
      <c r="K93" s="79">
        <f t="shared" si="105"/>
        <v>0</v>
      </c>
      <c r="L93" s="79">
        <f t="shared" si="105"/>
        <v>0</v>
      </c>
      <c r="M93" s="112">
        <f t="shared" si="105"/>
        <v>0</v>
      </c>
      <c r="N93" s="60">
        <f>SUM(O87:O92,P79:P84,Q71:Q76,R63:R68)</f>
        <v>0</v>
      </c>
      <c r="T93" s="138"/>
      <c r="U93" s="139"/>
      <c r="V93" s="139">
        <f>SUM(V87:V92)</f>
        <v>0</v>
      </c>
      <c r="W93" s="140">
        <f>SUM(W87:W92)</f>
        <v>0</v>
      </c>
      <c r="Y93" s="147"/>
      <c r="Z93" s="147"/>
      <c r="AA93" s="147"/>
      <c r="AB93" s="147"/>
      <c r="AC93" s="147"/>
      <c r="AD93" s="147"/>
      <c r="AE93" s="147"/>
      <c r="AF93" s="147"/>
      <c r="AG93" s="147"/>
      <c r="AH93" s="147"/>
      <c r="AI93" s="147"/>
      <c r="AJ93" s="147"/>
      <c r="AK93" s="147"/>
      <c r="AL93" s="147"/>
    </row>
    <row r="94" spans="1:38" ht="15" thickBot="1" x14ac:dyDescent="0.35">
      <c r="A94" s="128" t="s">
        <v>611</v>
      </c>
      <c r="C94" s="128" t="s">
        <v>502</v>
      </c>
      <c r="D94" s="76" t="s">
        <v>620</v>
      </c>
      <c r="E94" s="76"/>
      <c r="F94" s="76"/>
      <c r="G94" s="146">
        <f>N101-SUM(G95:G100)</f>
        <v>0</v>
      </c>
      <c r="H94" s="76"/>
      <c r="I94" s="76"/>
      <c r="J94" s="76"/>
      <c r="K94" s="76"/>
      <c r="L94" s="76"/>
      <c r="M94" s="77"/>
      <c r="S94">
        <f>SUM(S95:S100)</f>
        <v>0</v>
      </c>
      <c r="T94" s="75"/>
      <c r="U94" s="76"/>
      <c r="V94" s="76"/>
      <c r="W94" s="77"/>
      <c r="Y94" s="147"/>
      <c r="Z94" s="147"/>
      <c r="AA94" s="147"/>
      <c r="AB94" s="147"/>
      <c r="AC94" s="147"/>
      <c r="AD94" s="147"/>
      <c r="AE94" s="147"/>
      <c r="AF94" s="147"/>
      <c r="AG94" s="147"/>
      <c r="AH94" s="147"/>
      <c r="AI94" s="147"/>
      <c r="AJ94" s="147"/>
      <c r="AK94" s="147"/>
      <c r="AL94" s="147"/>
    </row>
    <row r="95" spans="1:38" x14ac:dyDescent="0.3">
      <c r="A95" s="195"/>
      <c r="C95" s="198"/>
      <c r="D95" s="199"/>
      <c r="E95" s="35" t="str">
        <f>_xlfn.IFNA(VLOOKUP(C95,'Te gebruiken meststoffen'!$R$3:$AC$10,12,FALSE),"")</f>
        <v/>
      </c>
      <c r="F95" s="50">
        <f t="shared" ref="F95:F100" si="106">D95*(IFERROR(VLOOKUP(C95,$C$45:$Q$58,3,FALSE),0))</f>
        <v>0</v>
      </c>
      <c r="G95" s="50">
        <f>O95</f>
        <v>0</v>
      </c>
      <c r="H95" s="50">
        <f t="shared" ref="H95:H100" si="107">D95*(IFERROR(VLOOKUP(C95,$C$45:$Q$58,5,FALSE),0))</f>
        <v>0</v>
      </c>
      <c r="I95" s="50">
        <f t="shared" ref="I95:I100" si="108">D95*(IFERROR(VLOOKUP(C95,$C$45:$Q$58,6,FALSE),0))</f>
        <v>0</v>
      </c>
      <c r="J95" s="50">
        <f t="shared" ref="J95:J100" si="109">D95*(IFERROR(VLOOKUP(C95,$C$45:$Q$58,7,FALSE),0))</f>
        <v>0</v>
      </c>
      <c r="K95" s="50">
        <f t="shared" ref="K95:K100" si="110">D95*(IFERROR(VLOOKUP(C95,$C$45:$Q$58,8,FALSE),0))</f>
        <v>0</v>
      </c>
      <c r="L95" s="50">
        <f t="shared" ref="L95:L100" si="111">D95*(IFERROR(VLOOKUP(C95,$C$45:$Q$58,9,FALSE),0))</f>
        <v>0</v>
      </c>
      <c r="M95" s="51">
        <f t="shared" ref="M95:M100" si="112">D95*(IFERROR(VLOOKUP(C95,$C$45:$Q$58,10,FALSE),0))</f>
        <v>0</v>
      </c>
      <c r="N95">
        <f t="shared" ref="N95:N100" si="113">O95+P87+Q79+R71</f>
        <v>0</v>
      </c>
      <c r="O95">
        <f t="shared" ref="O95:O100" si="114">D95*(IFERROR(VLOOKUP(C95,$C$45:$Q$58,12,FALSE),0))</f>
        <v>0</v>
      </c>
      <c r="P95">
        <f t="shared" ref="P95:P100" si="115">D95*(IFERROR(VLOOKUP(C95,$C$45:$Q$58,13,FALSE),0))</f>
        <v>0</v>
      </c>
      <c r="Q95" s="150">
        <f t="shared" ref="Q95:Q100" si="116">D95*(IFERROR(VLOOKUP(C95,$C$45:$Q$58,14,FALSE),0))</f>
        <v>0</v>
      </c>
      <c r="R95" s="150">
        <f t="shared" ref="R95:R100" si="117">D95*(IFERROR(VLOOKUP(C95,$C$45:$Q$58,15,FALSE),0))</f>
        <v>0</v>
      </c>
      <c r="S95">
        <f t="shared" ref="S95:S100" si="118">IF(F95&gt;0,F95,G95)</f>
        <v>0</v>
      </c>
      <c r="T95" s="34" t="str">
        <f>IF(D95="","",D95*$D$9)</f>
        <v/>
      </c>
      <c r="U95" s="35" t="str">
        <f>IF(D95="","",E95)</f>
        <v/>
      </c>
      <c r="V95" s="35" t="str">
        <f>IF(D95="","",D95*(VLOOKUP(C95,$C$45:$M$58,11,FALSE)))</f>
        <v/>
      </c>
      <c r="W95" s="36" t="str">
        <f>IF(T95="","",T95*(VLOOKUP(C95,$C$45:$M$58,11,FALSE)))</f>
        <v/>
      </c>
      <c r="Y95" s="147" t="str">
        <f t="shared" si="32"/>
        <v/>
      </c>
      <c r="Z95" s="147" t="str">
        <f t="shared" si="33"/>
        <v/>
      </c>
      <c r="AA95" s="147" t="str">
        <f t="shared" si="34"/>
        <v/>
      </c>
      <c r="AB95" s="147" t="str">
        <f t="shared" si="35"/>
        <v/>
      </c>
      <c r="AC95" s="147" t="str">
        <f t="shared" si="36"/>
        <v/>
      </c>
      <c r="AD95" s="147" t="str">
        <f t="shared" si="37"/>
        <v/>
      </c>
      <c r="AE95" s="147" t="str">
        <f t="shared" si="38"/>
        <v/>
      </c>
      <c r="AF95" s="147" t="str">
        <f t="shared" si="39"/>
        <v/>
      </c>
      <c r="AG95" s="147" t="str">
        <f t="shared" si="40"/>
        <v/>
      </c>
      <c r="AH95" s="147" t="str">
        <f t="shared" si="41"/>
        <v/>
      </c>
      <c r="AI95" s="147" t="str">
        <f t="shared" si="42"/>
        <v/>
      </c>
      <c r="AJ95" s="147" t="str">
        <f t="shared" si="43"/>
        <v/>
      </c>
      <c r="AK95" s="147" t="str">
        <f t="shared" si="44"/>
        <v/>
      </c>
      <c r="AL95" s="147" t="str">
        <f t="shared" si="45"/>
        <v/>
      </c>
    </row>
    <row r="96" spans="1:38" x14ac:dyDescent="0.3">
      <c r="A96" s="196"/>
      <c r="C96" s="200"/>
      <c r="D96" s="201"/>
      <c r="E96" t="str">
        <f>_xlfn.IFNA(VLOOKUP(C96,'Te gebruiken meststoffen'!$R$3:$AC$10,12,FALSE),"")</f>
        <v/>
      </c>
      <c r="F96" s="52">
        <f t="shared" si="106"/>
        <v>0</v>
      </c>
      <c r="G96" s="52">
        <f t="shared" ref="G96:G100" si="119">O96</f>
        <v>0</v>
      </c>
      <c r="H96" s="52">
        <f t="shared" si="107"/>
        <v>0</v>
      </c>
      <c r="I96" s="52">
        <f t="shared" si="108"/>
        <v>0</v>
      </c>
      <c r="J96" s="52">
        <f t="shared" si="109"/>
        <v>0</v>
      </c>
      <c r="K96" s="52">
        <f t="shared" si="110"/>
        <v>0</v>
      </c>
      <c r="L96" s="52">
        <f t="shared" si="111"/>
        <v>0</v>
      </c>
      <c r="M96" s="53">
        <f t="shared" si="112"/>
        <v>0</v>
      </c>
      <c r="N96">
        <f>O96+P88+Q80+R72</f>
        <v>0</v>
      </c>
      <c r="O96">
        <f t="shared" si="114"/>
        <v>0</v>
      </c>
      <c r="P96">
        <f t="shared" si="115"/>
        <v>0</v>
      </c>
      <c r="Q96" s="150">
        <f t="shared" si="116"/>
        <v>0</v>
      </c>
      <c r="R96" s="150">
        <f t="shared" si="117"/>
        <v>0</v>
      </c>
      <c r="S96">
        <f t="shared" si="118"/>
        <v>0</v>
      </c>
      <c r="T96" s="40" t="str">
        <f t="shared" ref="T96:T100" si="120">IF(D96="","",D96*$D$9)</f>
        <v/>
      </c>
      <c r="U96" t="str">
        <f t="shared" ref="U96:U100" si="121">IF(D96="","",E96)</f>
        <v/>
      </c>
      <c r="V96" t="str">
        <f t="shared" ref="V96:V100" si="122">IF(D96="","",D96*(VLOOKUP(C96,$C$45:$M$58,11,FALSE)))</f>
        <v/>
      </c>
      <c r="W96" s="43" t="str">
        <f t="shared" ref="W96:W100" si="123">IF(T96="","",T96*(VLOOKUP(C96,$C$45:$M$58,11,FALSE)))</f>
        <v/>
      </c>
      <c r="Y96" s="147" t="str">
        <f t="shared" si="32"/>
        <v/>
      </c>
      <c r="Z96" s="147" t="str">
        <f t="shared" si="33"/>
        <v/>
      </c>
      <c r="AA96" s="147" t="str">
        <f t="shared" si="34"/>
        <v/>
      </c>
      <c r="AB96" s="147" t="str">
        <f t="shared" si="35"/>
        <v/>
      </c>
      <c r="AC96" s="147" t="str">
        <f t="shared" si="36"/>
        <v/>
      </c>
      <c r="AD96" s="147" t="str">
        <f t="shared" si="37"/>
        <v/>
      </c>
      <c r="AE96" s="147" t="str">
        <f t="shared" si="38"/>
        <v/>
      </c>
      <c r="AF96" s="147" t="str">
        <f t="shared" si="39"/>
        <v/>
      </c>
      <c r="AG96" s="147" t="str">
        <f t="shared" si="40"/>
        <v/>
      </c>
      <c r="AH96" s="147" t="str">
        <f t="shared" si="41"/>
        <v/>
      </c>
      <c r="AI96" s="147" t="str">
        <f t="shared" si="42"/>
        <v/>
      </c>
      <c r="AJ96" s="147" t="str">
        <f t="shared" si="43"/>
        <v/>
      </c>
      <c r="AK96" s="147" t="str">
        <f t="shared" si="44"/>
        <v/>
      </c>
      <c r="AL96" s="147" t="str">
        <f t="shared" si="45"/>
        <v/>
      </c>
    </row>
    <row r="97" spans="1:38" x14ac:dyDescent="0.3">
      <c r="A97" s="196"/>
      <c r="C97" s="200"/>
      <c r="D97" s="201"/>
      <c r="E97" t="str">
        <f>_xlfn.IFNA(VLOOKUP(C97,'Te gebruiken meststoffen'!$R$3:$AC$10,12,FALSE),"")</f>
        <v/>
      </c>
      <c r="F97" s="52">
        <f t="shared" si="106"/>
        <v>0</v>
      </c>
      <c r="G97" s="52">
        <f t="shared" si="119"/>
        <v>0</v>
      </c>
      <c r="H97" s="52">
        <f t="shared" si="107"/>
        <v>0</v>
      </c>
      <c r="I97" s="52">
        <f t="shared" si="108"/>
        <v>0</v>
      </c>
      <c r="J97" s="52">
        <f t="shared" si="109"/>
        <v>0</v>
      </c>
      <c r="K97" s="52">
        <f t="shared" si="110"/>
        <v>0</v>
      </c>
      <c r="L97" s="52">
        <f t="shared" si="111"/>
        <v>0</v>
      </c>
      <c r="M97" s="53">
        <f t="shared" si="112"/>
        <v>0</v>
      </c>
      <c r="N97">
        <f t="shared" si="113"/>
        <v>0</v>
      </c>
      <c r="O97">
        <f t="shared" si="114"/>
        <v>0</v>
      </c>
      <c r="P97">
        <f t="shared" si="115"/>
        <v>0</v>
      </c>
      <c r="Q97" s="150">
        <f t="shared" si="116"/>
        <v>0</v>
      </c>
      <c r="R97" s="150">
        <f t="shared" si="117"/>
        <v>0</v>
      </c>
      <c r="S97">
        <f t="shared" si="118"/>
        <v>0</v>
      </c>
      <c r="T97" s="40" t="str">
        <f t="shared" si="120"/>
        <v/>
      </c>
      <c r="U97" t="str">
        <f t="shared" si="121"/>
        <v/>
      </c>
      <c r="V97" t="str">
        <f t="shared" si="122"/>
        <v/>
      </c>
      <c r="W97" s="43" t="str">
        <f t="shared" si="123"/>
        <v/>
      </c>
      <c r="Y97" s="147" t="str">
        <f t="shared" si="32"/>
        <v/>
      </c>
      <c r="Z97" s="147" t="str">
        <f t="shared" si="33"/>
        <v/>
      </c>
      <c r="AA97" s="147" t="str">
        <f t="shared" si="34"/>
        <v/>
      </c>
      <c r="AB97" s="147" t="str">
        <f t="shared" si="35"/>
        <v/>
      </c>
      <c r="AC97" s="147" t="str">
        <f t="shared" si="36"/>
        <v/>
      </c>
      <c r="AD97" s="147" t="str">
        <f t="shared" si="37"/>
        <v/>
      </c>
      <c r="AE97" s="147" t="str">
        <f t="shared" si="38"/>
        <v/>
      </c>
      <c r="AF97" s="147" t="str">
        <f t="shared" si="39"/>
        <v/>
      </c>
      <c r="AG97" s="147" t="str">
        <f t="shared" si="40"/>
        <v/>
      </c>
      <c r="AH97" s="147" t="str">
        <f t="shared" si="41"/>
        <v/>
      </c>
      <c r="AI97" s="147" t="str">
        <f t="shared" si="42"/>
        <v/>
      </c>
      <c r="AJ97" s="147" t="str">
        <f t="shared" si="43"/>
        <v/>
      </c>
      <c r="AK97" s="147" t="str">
        <f t="shared" si="44"/>
        <v/>
      </c>
      <c r="AL97" s="147" t="str">
        <f t="shared" si="45"/>
        <v/>
      </c>
    </row>
    <row r="98" spans="1:38" x14ac:dyDescent="0.3">
      <c r="A98" s="196"/>
      <c r="C98" s="200"/>
      <c r="D98" s="201"/>
      <c r="E98" t="str">
        <f>_xlfn.IFNA(VLOOKUP(C98,'Te gebruiken meststoffen'!$R$3:$AC$10,12,FALSE),"")</f>
        <v/>
      </c>
      <c r="F98" s="52">
        <f t="shared" si="106"/>
        <v>0</v>
      </c>
      <c r="G98" s="52">
        <f t="shared" si="119"/>
        <v>0</v>
      </c>
      <c r="H98" s="52">
        <f t="shared" si="107"/>
        <v>0</v>
      </c>
      <c r="I98" s="52">
        <f t="shared" si="108"/>
        <v>0</v>
      </c>
      <c r="J98" s="52">
        <f t="shared" si="109"/>
        <v>0</v>
      </c>
      <c r="K98" s="52">
        <f t="shared" si="110"/>
        <v>0</v>
      </c>
      <c r="L98" s="52">
        <f t="shared" si="111"/>
        <v>0</v>
      </c>
      <c r="M98" s="53">
        <f t="shared" si="112"/>
        <v>0</v>
      </c>
      <c r="N98">
        <f t="shared" si="113"/>
        <v>0</v>
      </c>
      <c r="O98">
        <f t="shared" si="114"/>
        <v>0</v>
      </c>
      <c r="P98">
        <f t="shared" si="115"/>
        <v>0</v>
      </c>
      <c r="Q98" s="150">
        <f t="shared" si="116"/>
        <v>0</v>
      </c>
      <c r="R98" s="150">
        <f t="shared" si="117"/>
        <v>0</v>
      </c>
      <c r="S98">
        <f t="shared" si="118"/>
        <v>0</v>
      </c>
      <c r="T98" s="40" t="str">
        <f t="shared" si="120"/>
        <v/>
      </c>
      <c r="U98" t="str">
        <f t="shared" si="121"/>
        <v/>
      </c>
      <c r="V98" t="str">
        <f t="shared" si="122"/>
        <v/>
      </c>
      <c r="W98" s="43" t="str">
        <f t="shared" si="123"/>
        <v/>
      </c>
      <c r="Y98" s="147" t="str">
        <f t="shared" si="32"/>
        <v/>
      </c>
      <c r="Z98" s="147" t="str">
        <f t="shared" si="33"/>
        <v/>
      </c>
      <c r="AA98" s="147" t="str">
        <f t="shared" si="34"/>
        <v/>
      </c>
      <c r="AB98" s="147" t="str">
        <f t="shared" si="35"/>
        <v/>
      </c>
      <c r="AC98" s="147" t="str">
        <f t="shared" si="36"/>
        <v/>
      </c>
      <c r="AD98" s="147" t="str">
        <f t="shared" si="37"/>
        <v/>
      </c>
      <c r="AE98" s="147" t="str">
        <f t="shared" si="38"/>
        <v/>
      </c>
      <c r="AF98" s="147" t="str">
        <f t="shared" si="39"/>
        <v/>
      </c>
      <c r="AG98" s="147" t="str">
        <f t="shared" si="40"/>
        <v/>
      </c>
      <c r="AH98" s="147" t="str">
        <f t="shared" si="41"/>
        <v/>
      </c>
      <c r="AI98" s="147" t="str">
        <f t="shared" si="42"/>
        <v/>
      </c>
      <c r="AJ98" s="147" t="str">
        <f t="shared" si="43"/>
        <v/>
      </c>
      <c r="AK98" s="147" t="str">
        <f t="shared" si="44"/>
        <v/>
      </c>
      <c r="AL98" s="147" t="str">
        <f t="shared" si="45"/>
        <v/>
      </c>
    </row>
    <row r="99" spans="1:38" x14ac:dyDescent="0.3">
      <c r="A99" s="196"/>
      <c r="C99" s="200"/>
      <c r="D99" s="201"/>
      <c r="E99" t="str">
        <f>_xlfn.IFNA(VLOOKUP(C99,'Te gebruiken meststoffen'!$R$3:$AC$10,12,FALSE),"")</f>
        <v/>
      </c>
      <c r="F99" s="52">
        <f t="shared" si="106"/>
        <v>0</v>
      </c>
      <c r="G99" s="52">
        <f t="shared" si="119"/>
        <v>0</v>
      </c>
      <c r="H99" s="52">
        <f t="shared" si="107"/>
        <v>0</v>
      </c>
      <c r="I99" s="52">
        <f t="shared" si="108"/>
        <v>0</v>
      </c>
      <c r="J99" s="52">
        <f t="shared" si="109"/>
        <v>0</v>
      </c>
      <c r="K99" s="52">
        <f t="shared" si="110"/>
        <v>0</v>
      </c>
      <c r="L99" s="52">
        <f t="shared" si="111"/>
        <v>0</v>
      </c>
      <c r="M99" s="53">
        <f t="shared" si="112"/>
        <v>0</v>
      </c>
      <c r="N99">
        <f t="shared" si="113"/>
        <v>0</v>
      </c>
      <c r="O99">
        <f t="shared" si="114"/>
        <v>0</v>
      </c>
      <c r="P99">
        <f t="shared" si="115"/>
        <v>0</v>
      </c>
      <c r="Q99" s="150">
        <f t="shared" si="116"/>
        <v>0</v>
      </c>
      <c r="R99" s="150">
        <f t="shared" si="117"/>
        <v>0</v>
      </c>
      <c r="S99">
        <f t="shared" si="118"/>
        <v>0</v>
      </c>
      <c r="T99" s="40" t="str">
        <f t="shared" si="120"/>
        <v/>
      </c>
      <c r="U99" t="str">
        <f t="shared" si="121"/>
        <v/>
      </c>
      <c r="V99" t="str">
        <f t="shared" si="122"/>
        <v/>
      </c>
      <c r="W99" s="43" t="str">
        <f t="shared" si="123"/>
        <v/>
      </c>
      <c r="Y99" s="147" t="str">
        <f t="shared" si="32"/>
        <v/>
      </c>
      <c r="Z99" s="147" t="str">
        <f t="shared" si="33"/>
        <v/>
      </c>
      <c r="AA99" s="147" t="str">
        <f t="shared" si="34"/>
        <v/>
      </c>
      <c r="AB99" s="147" t="str">
        <f t="shared" si="35"/>
        <v/>
      </c>
      <c r="AC99" s="147" t="str">
        <f t="shared" si="36"/>
        <v/>
      </c>
      <c r="AD99" s="147" t="str">
        <f t="shared" si="37"/>
        <v/>
      </c>
      <c r="AE99" s="147" t="str">
        <f t="shared" si="38"/>
        <v/>
      </c>
      <c r="AF99" s="147" t="str">
        <f t="shared" si="39"/>
        <v/>
      </c>
      <c r="AG99" s="147" t="str">
        <f t="shared" si="40"/>
        <v/>
      </c>
      <c r="AH99" s="147" t="str">
        <f t="shared" si="41"/>
        <v/>
      </c>
      <c r="AI99" s="147" t="str">
        <f t="shared" si="42"/>
        <v/>
      </c>
      <c r="AJ99" s="147" t="str">
        <f t="shared" si="43"/>
        <v/>
      </c>
      <c r="AK99" s="147" t="str">
        <f t="shared" si="44"/>
        <v/>
      </c>
      <c r="AL99" s="147" t="str">
        <f t="shared" si="45"/>
        <v/>
      </c>
    </row>
    <row r="100" spans="1:38" ht="15" thickBot="1" x14ac:dyDescent="0.35">
      <c r="A100" s="197"/>
      <c r="C100" s="200"/>
      <c r="D100" s="201"/>
      <c r="E100" t="str">
        <f>_xlfn.IFNA(VLOOKUP(C100,'Te gebruiken meststoffen'!$R$3:$AC$10,12,FALSE),"")</f>
        <v/>
      </c>
      <c r="F100" s="52">
        <f t="shared" si="106"/>
        <v>0</v>
      </c>
      <c r="G100" s="52">
        <f t="shared" si="119"/>
        <v>0</v>
      </c>
      <c r="H100" s="52">
        <f t="shared" si="107"/>
        <v>0</v>
      </c>
      <c r="I100" s="52">
        <f t="shared" si="108"/>
        <v>0</v>
      </c>
      <c r="J100" s="52">
        <f t="shared" si="109"/>
        <v>0</v>
      </c>
      <c r="K100" s="52">
        <f t="shared" si="110"/>
        <v>0</v>
      </c>
      <c r="L100" s="52">
        <f t="shared" si="111"/>
        <v>0</v>
      </c>
      <c r="M100" s="53">
        <f t="shared" si="112"/>
        <v>0</v>
      </c>
      <c r="N100">
        <f t="shared" si="113"/>
        <v>0</v>
      </c>
      <c r="O100">
        <f t="shared" si="114"/>
        <v>0</v>
      </c>
      <c r="P100">
        <f t="shared" si="115"/>
        <v>0</v>
      </c>
      <c r="Q100" s="150">
        <f t="shared" si="116"/>
        <v>0</v>
      </c>
      <c r="R100" s="150">
        <f t="shared" si="117"/>
        <v>0</v>
      </c>
      <c r="S100">
        <f t="shared" si="118"/>
        <v>0</v>
      </c>
      <c r="T100" s="134" t="str">
        <f t="shared" si="120"/>
        <v/>
      </c>
      <c r="U100" s="131" t="str">
        <f t="shared" si="121"/>
        <v/>
      </c>
      <c r="V100" s="131" t="str">
        <f t="shared" si="122"/>
        <v/>
      </c>
      <c r="W100" s="135" t="str">
        <f t="shared" si="123"/>
        <v/>
      </c>
      <c r="Y100" s="147" t="str">
        <f t="shared" si="32"/>
        <v/>
      </c>
      <c r="Z100" s="147" t="str">
        <f t="shared" si="33"/>
        <v/>
      </c>
      <c r="AA100" s="147" t="str">
        <f t="shared" si="34"/>
        <v/>
      </c>
      <c r="AB100" s="147" t="str">
        <f t="shared" si="35"/>
        <v/>
      </c>
      <c r="AC100" s="147" t="str">
        <f t="shared" si="36"/>
        <v/>
      </c>
      <c r="AD100" s="147" t="str">
        <f t="shared" si="37"/>
        <v/>
      </c>
      <c r="AE100" s="147" t="str">
        <f t="shared" si="38"/>
        <v/>
      </c>
      <c r="AF100" s="147" t="str">
        <f t="shared" si="39"/>
        <v/>
      </c>
      <c r="AG100" s="147" t="str">
        <f t="shared" si="40"/>
        <v/>
      </c>
      <c r="AH100" s="147" t="str">
        <f t="shared" si="41"/>
        <v/>
      </c>
      <c r="AI100" s="147" t="str">
        <f t="shared" si="42"/>
        <v/>
      </c>
      <c r="AJ100" s="147" t="str">
        <f t="shared" si="43"/>
        <v/>
      </c>
      <c r="AK100" s="147" t="str">
        <f t="shared" si="44"/>
        <v/>
      </c>
      <c r="AL100" s="147" t="str">
        <f t="shared" si="45"/>
        <v/>
      </c>
    </row>
    <row r="101" spans="1:38" ht="15" thickBot="1" x14ac:dyDescent="0.35">
      <c r="C101" s="75"/>
      <c r="D101" s="76"/>
      <c r="E101" s="56" t="s">
        <v>508</v>
      </c>
      <c r="F101" s="79">
        <f t="shared" ref="F101:M101" si="124">SUM(F95:F100)</f>
        <v>0</v>
      </c>
      <c r="G101" s="79">
        <f>SUM(G94:G100)</f>
        <v>0</v>
      </c>
      <c r="H101" s="79">
        <f t="shared" si="124"/>
        <v>0</v>
      </c>
      <c r="I101" s="79">
        <f t="shared" si="124"/>
        <v>0</v>
      </c>
      <c r="J101" s="79">
        <f t="shared" si="124"/>
        <v>0</v>
      </c>
      <c r="K101" s="79">
        <f t="shared" si="124"/>
        <v>0</v>
      </c>
      <c r="L101" s="79">
        <f t="shared" si="124"/>
        <v>0</v>
      </c>
      <c r="M101" s="112">
        <f t="shared" si="124"/>
        <v>0</v>
      </c>
      <c r="N101" s="60">
        <f>SUM(O95:O100,P87:P92,Q79:Q84,R71:R76)</f>
        <v>0</v>
      </c>
      <c r="T101" s="138"/>
      <c r="U101" s="139"/>
      <c r="V101" s="139">
        <f>SUM(V95:V100)</f>
        <v>0</v>
      </c>
      <c r="W101" s="140">
        <f>SUM(W95:W100)</f>
        <v>0</v>
      </c>
      <c r="Y101" s="147"/>
      <c r="Z101" s="147"/>
      <c r="AA101" s="147"/>
      <c r="AB101" s="147"/>
      <c r="AC101" s="147"/>
      <c r="AD101" s="147"/>
      <c r="AE101" s="147"/>
      <c r="AF101" s="147"/>
      <c r="AG101" s="147"/>
      <c r="AH101" s="147"/>
      <c r="AI101" s="147"/>
      <c r="AJ101" s="147"/>
      <c r="AK101" s="147"/>
      <c r="AL101" s="147"/>
    </row>
    <row r="102" spans="1:38" ht="15" thickBot="1" x14ac:dyDescent="0.35">
      <c r="A102" s="128" t="s">
        <v>611</v>
      </c>
      <c r="C102" s="128" t="s">
        <v>503</v>
      </c>
      <c r="D102" s="76" t="s">
        <v>620</v>
      </c>
      <c r="E102" s="76"/>
      <c r="F102" s="76"/>
      <c r="G102" s="114">
        <f>N109-SUM(G103:G108)</f>
        <v>0</v>
      </c>
      <c r="H102" s="76"/>
      <c r="I102" s="76"/>
      <c r="J102" s="76"/>
      <c r="K102" s="76"/>
      <c r="L102" s="76"/>
      <c r="M102" s="77"/>
      <c r="S102">
        <f>SUM(S103:S108)</f>
        <v>0</v>
      </c>
      <c r="T102" s="75"/>
      <c r="U102" s="76"/>
      <c r="V102" s="76"/>
      <c r="W102" s="77"/>
      <c r="Y102" s="147"/>
      <c r="Z102" s="147"/>
      <c r="AA102" s="147"/>
      <c r="AB102" s="147"/>
      <c r="AC102" s="147"/>
      <c r="AD102" s="147"/>
      <c r="AE102" s="147"/>
      <c r="AF102" s="147"/>
      <c r="AG102" s="147"/>
      <c r="AH102" s="147"/>
      <c r="AI102" s="147"/>
      <c r="AJ102" s="147"/>
      <c r="AK102" s="147"/>
      <c r="AL102" s="147"/>
    </row>
    <row r="103" spans="1:38" x14ac:dyDescent="0.3">
      <c r="A103" s="195"/>
      <c r="C103" s="198"/>
      <c r="D103" s="199"/>
      <c r="E103" s="35" t="str">
        <f>_xlfn.IFNA(VLOOKUP(C103,'Te gebruiken meststoffen'!$R$3:$AC$10,12,FALSE),"")</f>
        <v/>
      </c>
      <c r="F103" s="50">
        <f t="shared" ref="F103:F108" si="125">D103*(IFERROR(VLOOKUP(C103,$C$45:$Q$58,3,FALSE),0))</f>
        <v>0</v>
      </c>
      <c r="G103" s="50">
        <f>O103</f>
        <v>0</v>
      </c>
      <c r="H103" s="50">
        <f t="shared" ref="H103:H108" si="126">D103*(IFERROR(VLOOKUP(C103,$C$45:$Q$58,5,FALSE),0))</f>
        <v>0</v>
      </c>
      <c r="I103" s="50">
        <f t="shared" ref="I103:I108" si="127">D103*(IFERROR(VLOOKUP(C103,$C$45:$Q$58,6,FALSE),0))</f>
        <v>0</v>
      </c>
      <c r="J103" s="50">
        <f t="shared" ref="J103:J108" si="128">D103*(IFERROR(VLOOKUP(C103,$C$45:$Q$58,7,FALSE),0))</f>
        <v>0</v>
      </c>
      <c r="K103" s="50">
        <f t="shared" ref="K103:K108" si="129">D103*(IFERROR(VLOOKUP(C103,$C$45:$Q$58,8,FALSE),0))</f>
        <v>0</v>
      </c>
      <c r="L103" s="50">
        <f t="shared" ref="L103:L108" si="130">D103*(IFERROR(VLOOKUP(C103,$C$45:$Q$58,9,FALSE),0))</f>
        <v>0</v>
      </c>
      <c r="M103" s="51">
        <f t="shared" ref="M103:M108" si="131">D103*(IFERROR(VLOOKUP(C103,$C$45:$Q$58,10,FALSE),0))</f>
        <v>0</v>
      </c>
      <c r="N103">
        <f>O103+P95+Q87+R79</f>
        <v>0</v>
      </c>
      <c r="O103">
        <f t="shared" ref="O103:O108" si="132">D103*(IFERROR(VLOOKUP(C103,$C$45:$Q$58,12,FALSE),0))</f>
        <v>0</v>
      </c>
      <c r="P103" s="150">
        <f t="shared" ref="P103:P108" si="133">D103*(IFERROR(VLOOKUP(C103,$C$45:$Q$58,13,FALSE),0))</f>
        <v>0</v>
      </c>
      <c r="Q103" s="150">
        <f t="shared" ref="Q103:Q108" si="134">D103*(IFERROR(VLOOKUP(C103,$C$45:$Q$58,14,FALSE),0))</f>
        <v>0</v>
      </c>
      <c r="R103" s="150">
        <f t="shared" ref="R103:R108" si="135">D103*(IFERROR(VLOOKUP(C103,$C$45:$Q$58,15,FALSE),0))</f>
        <v>0</v>
      </c>
      <c r="S103">
        <f t="shared" ref="S103:S108" si="136">IF(F103&gt;0,F103,G103)</f>
        <v>0</v>
      </c>
      <c r="T103" s="34" t="str">
        <f>IF(D103="","",D103*$D$9)</f>
        <v/>
      </c>
      <c r="U103" s="35" t="str">
        <f>IF(D103="","",E103)</f>
        <v/>
      </c>
      <c r="V103" s="35" t="str">
        <f>IF(D103="","",D103*(VLOOKUP(C103,$C$45:$M$58,11,FALSE)))</f>
        <v/>
      </c>
      <c r="W103" s="36" t="str">
        <f>IF(T103="","",T103*(VLOOKUP(C103,$C$45:$M$58,11,FALSE)))</f>
        <v/>
      </c>
      <c r="Y103" s="147" t="str">
        <f t="shared" si="32"/>
        <v/>
      </c>
      <c r="Z103" s="147" t="str">
        <f t="shared" si="33"/>
        <v/>
      </c>
      <c r="AA103" s="147" t="str">
        <f t="shared" si="34"/>
        <v/>
      </c>
      <c r="AB103" s="147" t="str">
        <f t="shared" si="35"/>
        <v/>
      </c>
      <c r="AC103" s="147" t="str">
        <f t="shared" si="36"/>
        <v/>
      </c>
      <c r="AD103" s="147" t="str">
        <f t="shared" si="37"/>
        <v/>
      </c>
      <c r="AE103" s="147" t="str">
        <f t="shared" si="38"/>
        <v/>
      </c>
      <c r="AF103" s="147" t="str">
        <f t="shared" si="39"/>
        <v/>
      </c>
      <c r="AG103" s="147" t="str">
        <f t="shared" si="40"/>
        <v/>
      </c>
      <c r="AH103" s="147" t="str">
        <f t="shared" si="41"/>
        <v/>
      </c>
      <c r="AI103" s="147" t="str">
        <f t="shared" si="42"/>
        <v/>
      </c>
      <c r="AJ103" s="147" t="str">
        <f t="shared" si="43"/>
        <v/>
      </c>
      <c r="AK103" s="147" t="str">
        <f t="shared" si="44"/>
        <v/>
      </c>
      <c r="AL103" s="147" t="str">
        <f t="shared" si="45"/>
        <v/>
      </c>
    </row>
    <row r="104" spans="1:38" x14ac:dyDescent="0.3">
      <c r="A104" s="196"/>
      <c r="C104" s="200"/>
      <c r="D104" s="201"/>
      <c r="E104" t="str">
        <f>_xlfn.IFNA(VLOOKUP(C104,'Te gebruiken meststoffen'!$R$3:$AC$10,12,FALSE),"")</f>
        <v/>
      </c>
      <c r="F104" s="52">
        <f t="shared" si="125"/>
        <v>0</v>
      </c>
      <c r="G104" s="52">
        <f t="shared" ref="G104:G108" si="137">O104</f>
        <v>0</v>
      </c>
      <c r="H104" s="52">
        <f t="shared" si="126"/>
        <v>0</v>
      </c>
      <c r="I104" s="52">
        <f t="shared" si="127"/>
        <v>0</v>
      </c>
      <c r="J104" s="52">
        <f t="shared" si="128"/>
        <v>0</v>
      </c>
      <c r="K104" s="52">
        <f t="shared" si="129"/>
        <v>0</v>
      </c>
      <c r="L104" s="52">
        <f t="shared" si="130"/>
        <v>0</v>
      </c>
      <c r="M104" s="53">
        <f t="shared" si="131"/>
        <v>0</v>
      </c>
      <c r="N104">
        <f>O104+P96+Q88+R80</f>
        <v>0</v>
      </c>
      <c r="O104">
        <f t="shared" si="132"/>
        <v>0</v>
      </c>
      <c r="P104" s="150">
        <f t="shared" si="133"/>
        <v>0</v>
      </c>
      <c r="Q104" s="150">
        <f t="shared" si="134"/>
        <v>0</v>
      </c>
      <c r="R104" s="150">
        <f t="shared" si="135"/>
        <v>0</v>
      </c>
      <c r="S104">
        <f t="shared" si="136"/>
        <v>0</v>
      </c>
      <c r="T104" s="40" t="str">
        <f t="shared" ref="T104:T108" si="138">IF(D104="","",D104*$D$9)</f>
        <v/>
      </c>
      <c r="U104" t="str">
        <f t="shared" ref="U104:U108" si="139">IF(D104="","",E104)</f>
        <v/>
      </c>
      <c r="V104" t="str">
        <f t="shared" ref="V104:V108" si="140">IF(D104="","",D104*(VLOOKUP(C104,$C$45:$M$58,11,FALSE)))</f>
        <v/>
      </c>
      <c r="W104" s="43" t="str">
        <f t="shared" ref="W104:W108" si="141">IF(T104="","",T104*(VLOOKUP(C104,$C$45:$M$58,11,FALSE)))</f>
        <v/>
      </c>
      <c r="Y104" s="147" t="str">
        <f t="shared" si="32"/>
        <v/>
      </c>
      <c r="Z104" s="147" t="str">
        <f t="shared" si="33"/>
        <v/>
      </c>
      <c r="AA104" s="147" t="str">
        <f t="shared" si="34"/>
        <v/>
      </c>
      <c r="AB104" s="147" t="str">
        <f t="shared" si="35"/>
        <v/>
      </c>
      <c r="AC104" s="147" t="str">
        <f t="shared" si="36"/>
        <v/>
      </c>
      <c r="AD104" s="147" t="str">
        <f t="shared" si="37"/>
        <v/>
      </c>
      <c r="AE104" s="147" t="str">
        <f t="shared" si="38"/>
        <v/>
      </c>
      <c r="AF104" s="147" t="str">
        <f t="shared" si="39"/>
        <v/>
      </c>
      <c r="AG104" s="147" t="str">
        <f t="shared" si="40"/>
        <v/>
      </c>
      <c r="AH104" s="147" t="str">
        <f t="shared" si="41"/>
        <v/>
      </c>
      <c r="AI104" s="147" t="str">
        <f t="shared" si="42"/>
        <v/>
      </c>
      <c r="AJ104" s="147" t="str">
        <f t="shared" si="43"/>
        <v/>
      </c>
      <c r="AK104" s="147" t="str">
        <f t="shared" si="44"/>
        <v/>
      </c>
      <c r="AL104" s="147" t="str">
        <f t="shared" si="45"/>
        <v/>
      </c>
    </row>
    <row r="105" spans="1:38" x14ac:dyDescent="0.3">
      <c r="A105" s="196"/>
      <c r="C105" s="200"/>
      <c r="D105" s="201"/>
      <c r="E105" t="str">
        <f>_xlfn.IFNA(VLOOKUP(C105,'Te gebruiken meststoffen'!$R$3:$AC$10,12,FALSE),"")</f>
        <v/>
      </c>
      <c r="F105" s="52">
        <f t="shared" si="125"/>
        <v>0</v>
      </c>
      <c r="G105" s="52">
        <f t="shared" si="137"/>
        <v>0</v>
      </c>
      <c r="H105" s="52">
        <f t="shared" si="126"/>
        <v>0</v>
      </c>
      <c r="I105" s="52">
        <f t="shared" si="127"/>
        <v>0</v>
      </c>
      <c r="J105" s="52">
        <f t="shared" si="128"/>
        <v>0</v>
      </c>
      <c r="K105" s="52">
        <f t="shared" si="129"/>
        <v>0</v>
      </c>
      <c r="L105" s="52">
        <f t="shared" si="130"/>
        <v>0</v>
      </c>
      <c r="M105" s="53">
        <f t="shared" si="131"/>
        <v>0</v>
      </c>
      <c r="N105">
        <f>O105+P97+Q89+R81</f>
        <v>0</v>
      </c>
      <c r="O105">
        <f t="shared" si="132"/>
        <v>0</v>
      </c>
      <c r="P105" s="150">
        <f t="shared" si="133"/>
        <v>0</v>
      </c>
      <c r="Q105" s="150">
        <f t="shared" si="134"/>
        <v>0</v>
      </c>
      <c r="R105" s="150">
        <f t="shared" si="135"/>
        <v>0</v>
      </c>
      <c r="S105">
        <f t="shared" si="136"/>
        <v>0</v>
      </c>
      <c r="T105" s="40" t="str">
        <f t="shared" si="138"/>
        <v/>
      </c>
      <c r="U105" t="str">
        <f t="shared" si="139"/>
        <v/>
      </c>
      <c r="V105" t="str">
        <f t="shared" si="140"/>
        <v/>
      </c>
      <c r="W105" s="43" t="str">
        <f t="shared" si="141"/>
        <v/>
      </c>
      <c r="Y105" s="147" t="str">
        <f t="shared" si="32"/>
        <v/>
      </c>
      <c r="Z105" s="147" t="str">
        <f t="shared" si="33"/>
        <v/>
      </c>
      <c r="AA105" s="147" t="str">
        <f t="shared" si="34"/>
        <v/>
      </c>
      <c r="AB105" s="147" t="str">
        <f t="shared" si="35"/>
        <v/>
      </c>
      <c r="AC105" s="147" t="str">
        <f t="shared" si="36"/>
        <v/>
      </c>
      <c r="AD105" s="147" t="str">
        <f t="shared" si="37"/>
        <v/>
      </c>
      <c r="AE105" s="147" t="str">
        <f t="shared" si="38"/>
        <v/>
      </c>
      <c r="AF105" s="147" t="str">
        <f t="shared" si="39"/>
        <v/>
      </c>
      <c r="AG105" s="147" t="str">
        <f t="shared" si="40"/>
        <v/>
      </c>
      <c r="AH105" s="147" t="str">
        <f t="shared" si="41"/>
        <v/>
      </c>
      <c r="AI105" s="147" t="str">
        <f t="shared" si="42"/>
        <v/>
      </c>
      <c r="AJ105" s="147" t="str">
        <f t="shared" si="43"/>
        <v/>
      </c>
      <c r="AK105" s="147" t="str">
        <f t="shared" si="44"/>
        <v/>
      </c>
      <c r="AL105" s="147" t="str">
        <f t="shared" si="45"/>
        <v/>
      </c>
    </row>
    <row r="106" spans="1:38" x14ac:dyDescent="0.3">
      <c r="A106" s="196"/>
      <c r="C106" s="200"/>
      <c r="D106" s="201"/>
      <c r="E106" t="str">
        <f>_xlfn.IFNA(VLOOKUP(C106,'Te gebruiken meststoffen'!$R$3:$AC$10,12,FALSE),"")</f>
        <v/>
      </c>
      <c r="F106" s="52">
        <f t="shared" si="125"/>
        <v>0</v>
      </c>
      <c r="G106" s="52">
        <f t="shared" si="137"/>
        <v>0</v>
      </c>
      <c r="H106" s="52">
        <f t="shared" si="126"/>
        <v>0</v>
      </c>
      <c r="I106" s="52">
        <f t="shared" si="127"/>
        <v>0</v>
      </c>
      <c r="J106" s="52">
        <f t="shared" si="128"/>
        <v>0</v>
      </c>
      <c r="K106" s="52">
        <f t="shared" si="129"/>
        <v>0</v>
      </c>
      <c r="L106" s="52">
        <f t="shared" si="130"/>
        <v>0</v>
      </c>
      <c r="M106" s="53">
        <f t="shared" si="131"/>
        <v>0</v>
      </c>
      <c r="N106">
        <f t="shared" ref="N106:N107" si="142">O106+P98+Q90+R82</f>
        <v>0</v>
      </c>
      <c r="O106">
        <f t="shared" si="132"/>
        <v>0</v>
      </c>
      <c r="P106" s="150">
        <f t="shared" si="133"/>
        <v>0</v>
      </c>
      <c r="Q106" s="150">
        <f t="shared" si="134"/>
        <v>0</v>
      </c>
      <c r="R106" s="150">
        <f t="shared" si="135"/>
        <v>0</v>
      </c>
      <c r="S106">
        <f t="shared" si="136"/>
        <v>0</v>
      </c>
      <c r="T106" s="40" t="str">
        <f t="shared" si="138"/>
        <v/>
      </c>
      <c r="U106" t="str">
        <f t="shared" si="139"/>
        <v/>
      </c>
      <c r="V106" t="str">
        <f t="shared" si="140"/>
        <v/>
      </c>
      <c r="W106" s="43" t="str">
        <f t="shared" si="141"/>
        <v/>
      </c>
      <c r="Y106" s="147" t="str">
        <f t="shared" si="32"/>
        <v/>
      </c>
      <c r="Z106" s="147" t="str">
        <f t="shared" si="33"/>
        <v/>
      </c>
      <c r="AA106" s="147" t="str">
        <f t="shared" si="34"/>
        <v/>
      </c>
      <c r="AB106" s="147" t="str">
        <f t="shared" si="35"/>
        <v/>
      </c>
      <c r="AC106" s="147" t="str">
        <f t="shared" si="36"/>
        <v/>
      </c>
      <c r="AD106" s="147" t="str">
        <f t="shared" si="37"/>
        <v/>
      </c>
      <c r="AE106" s="147" t="str">
        <f t="shared" si="38"/>
        <v/>
      </c>
      <c r="AF106" s="147" t="str">
        <f t="shared" si="39"/>
        <v/>
      </c>
      <c r="AG106" s="147" t="str">
        <f t="shared" si="40"/>
        <v/>
      </c>
      <c r="AH106" s="147" t="str">
        <f t="shared" si="41"/>
        <v/>
      </c>
      <c r="AI106" s="147" t="str">
        <f t="shared" si="42"/>
        <v/>
      </c>
      <c r="AJ106" s="147" t="str">
        <f t="shared" si="43"/>
        <v/>
      </c>
      <c r="AK106" s="147" t="str">
        <f t="shared" si="44"/>
        <v/>
      </c>
      <c r="AL106" s="147" t="str">
        <f t="shared" si="45"/>
        <v/>
      </c>
    </row>
    <row r="107" spans="1:38" x14ac:dyDescent="0.3">
      <c r="A107" s="196"/>
      <c r="C107" s="200"/>
      <c r="D107" s="201"/>
      <c r="E107" t="str">
        <f>_xlfn.IFNA(VLOOKUP(C107,'Te gebruiken meststoffen'!$R$3:$AC$10,12,FALSE),"")</f>
        <v/>
      </c>
      <c r="F107" s="52">
        <f t="shared" si="125"/>
        <v>0</v>
      </c>
      <c r="G107" s="52">
        <f t="shared" si="137"/>
        <v>0</v>
      </c>
      <c r="H107" s="52">
        <f t="shared" si="126"/>
        <v>0</v>
      </c>
      <c r="I107" s="52">
        <f t="shared" si="127"/>
        <v>0</v>
      </c>
      <c r="J107" s="52">
        <f t="shared" si="128"/>
        <v>0</v>
      </c>
      <c r="K107" s="52">
        <f t="shared" si="129"/>
        <v>0</v>
      </c>
      <c r="L107" s="52">
        <f t="shared" si="130"/>
        <v>0</v>
      </c>
      <c r="M107" s="53">
        <f t="shared" si="131"/>
        <v>0</v>
      </c>
      <c r="N107">
        <f t="shared" si="142"/>
        <v>0</v>
      </c>
      <c r="O107">
        <f t="shared" si="132"/>
        <v>0</v>
      </c>
      <c r="P107" s="150">
        <f t="shared" si="133"/>
        <v>0</v>
      </c>
      <c r="Q107" s="150">
        <f t="shared" si="134"/>
        <v>0</v>
      </c>
      <c r="R107" s="150">
        <f t="shared" si="135"/>
        <v>0</v>
      </c>
      <c r="S107">
        <f t="shared" si="136"/>
        <v>0</v>
      </c>
      <c r="T107" s="40" t="str">
        <f t="shared" si="138"/>
        <v/>
      </c>
      <c r="U107" t="str">
        <f t="shared" si="139"/>
        <v/>
      </c>
      <c r="V107" t="str">
        <f t="shared" si="140"/>
        <v/>
      </c>
      <c r="W107" s="43" t="str">
        <f t="shared" si="141"/>
        <v/>
      </c>
      <c r="Y107" s="147" t="str">
        <f t="shared" si="32"/>
        <v/>
      </c>
      <c r="Z107" s="147" t="str">
        <f t="shared" si="33"/>
        <v/>
      </c>
      <c r="AA107" s="147" t="str">
        <f t="shared" si="34"/>
        <v/>
      </c>
      <c r="AB107" s="147" t="str">
        <f t="shared" si="35"/>
        <v/>
      </c>
      <c r="AC107" s="147" t="str">
        <f t="shared" si="36"/>
        <v/>
      </c>
      <c r="AD107" s="147" t="str">
        <f t="shared" si="37"/>
        <v/>
      </c>
      <c r="AE107" s="147" t="str">
        <f t="shared" si="38"/>
        <v/>
      </c>
      <c r="AF107" s="147" t="str">
        <f t="shared" si="39"/>
        <v/>
      </c>
      <c r="AG107" s="147" t="str">
        <f t="shared" si="40"/>
        <v/>
      </c>
      <c r="AH107" s="147" t="str">
        <f t="shared" si="41"/>
        <v/>
      </c>
      <c r="AI107" s="147" t="str">
        <f t="shared" si="42"/>
        <v/>
      </c>
      <c r="AJ107" s="147" t="str">
        <f t="shared" si="43"/>
        <v/>
      </c>
      <c r="AK107" s="147" t="str">
        <f t="shared" si="44"/>
        <v/>
      </c>
      <c r="AL107" s="147" t="str">
        <f t="shared" si="45"/>
        <v/>
      </c>
    </row>
    <row r="108" spans="1:38" ht="15" thickBot="1" x14ac:dyDescent="0.35">
      <c r="A108" s="197"/>
      <c r="C108" s="200"/>
      <c r="D108" s="201"/>
      <c r="E108" t="str">
        <f>_xlfn.IFNA(VLOOKUP(C108,'Te gebruiken meststoffen'!$R$3:$AC$10,12,FALSE),"")</f>
        <v/>
      </c>
      <c r="F108" s="52">
        <f t="shared" si="125"/>
        <v>0</v>
      </c>
      <c r="G108" s="52">
        <f t="shared" si="137"/>
        <v>0</v>
      </c>
      <c r="H108" s="52">
        <f t="shared" si="126"/>
        <v>0</v>
      </c>
      <c r="I108" s="52">
        <f t="shared" si="127"/>
        <v>0</v>
      </c>
      <c r="J108" s="52">
        <f t="shared" si="128"/>
        <v>0</v>
      </c>
      <c r="K108" s="52">
        <f t="shared" si="129"/>
        <v>0</v>
      </c>
      <c r="L108" s="52">
        <f t="shared" si="130"/>
        <v>0</v>
      </c>
      <c r="M108" s="53">
        <f t="shared" si="131"/>
        <v>0</v>
      </c>
      <c r="N108">
        <f>O108+P100+Q92+R84</f>
        <v>0</v>
      </c>
      <c r="O108">
        <f t="shared" si="132"/>
        <v>0</v>
      </c>
      <c r="P108" s="150">
        <f t="shared" si="133"/>
        <v>0</v>
      </c>
      <c r="Q108" s="150">
        <f t="shared" si="134"/>
        <v>0</v>
      </c>
      <c r="R108" s="150">
        <f t="shared" si="135"/>
        <v>0</v>
      </c>
      <c r="S108">
        <f t="shared" si="136"/>
        <v>0</v>
      </c>
      <c r="T108" s="134" t="str">
        <f t="shared" si="138"/>
        <v/>
      </c>
      <c r="U108" s="131" t="str">
        <f t="shared" si="139"/>
        <v/>
      </c>
      <c r="V108" s="131" t="str">
        <f t="shared" si="140"/>
        <v/>
      </c>
      <c r="W108" s="135" t="str">
        <f t="shared" si="141"/>
        <v/>
      </c>
      <c r="Y108" s="147" t="str">
        <f t="shared" si="32"/>
        <v/>
      </c>
      <c r="Z108" s="147" t="str">
        <f t="shared" si="33"/>
        <v/>
      </c>
      <c r="AA108" s="147" t="str">
        <f t="shared" si="34"/>
        <v/>
      </c>
      <c r="AB108" s="147" t="str">
        <f t="shared" si="35"/>
        <v/>
      </c>
      <c r="AC108" s="147" t="str">
        <f t="shared" si="36"/>
        <v/>
      </c>
      <c r="AD108" s="147" t="str">
        <f t="shared" si="37"/>
        <v/>
      </c>
      <c r="AE108" s="147" t="str">
        <f t="shared" si="38"/>
        <v/>
      </c>
      <c r="AF108" s="147" t="str">
        <f t="shared" si="39"/>
        <v/>
      </c>
      <c r="AG108" s="147" t="str">
        <f t="shared" si="40"/>
        <v/>
      </c>
      <c r="AH108" s="147" t="str">
        <f t="shared" si="41"/>
        <v/>
      </c>
      <c r="AI108" s="147" t="str">
        <f t="shared" si="42"/>
        <v/>
      </c>
      <c r="AJ108" s="147" t="str">
        <f t="shared" si="43"/>
        <v/>
      </c>
      <c r="AK108" s="147" t="str">
        <f t="shared" si="44"/>
        <v/>
      </c>
      <c r="AL108" s="147" t="str">
        <f t="shared" si="45"/>
        <v/>
      </c>
    </row>
    <row r="109" spans="1:38" ht="15" thickBot="1" x14ac:dyDescent="0.35">
      <c r="C109" s="75"/>
      <c r="D109" s="76"/>
      <c r="E109" s="56" t="s">
        <v>509</v>
      </c>
      <c r="F109" s="56">
        <f t="shared" ref="F109:M109" si="143">SUM(F103:F108)</f>
        <v>0</v>
      </c>
      <c r="G109" s="79">
        <f>SUM(G102:G108)</f>
        <v>0</v>
      </c>
      <c r="H109" s="56">
        <f t="shared" si="143"/>
        <v>0</v>
      </c>
      <c r="I109" s="56">
        <f t="shared" si="143"/>
        <v>0</v>
      </c>
      <c r="J109" s="56">
        <f t="shared" si="143"/>
        <v>0</v>
      </c>
      <c r="K109" s="56">
        <f t="shared" si="143"/>
        <v>0</v>
      </c>
      <c r="L109" s="56">
        <f t="shared" si="143"/>
        <v>0</v>
      </c>
      <c r="M109" s="80">
        <f t="shared" si="143"/>
        <v>0</v>
      </c>
      <c r="N109" s="60">
        <f>SUM(O103:O108,P95:P100,Q87:Q92,R79:R84)</f>
        <v>0</v>
      </c>
      <c r="T109" s="138"/>
      <c r="U109" s="139"/>
      <c r="V109" s="139">
        <f>SUM(V103:V108)</f>
        <v>0</v>
      </c>
      <c r="W109" s="140">
        <f>SUM(W103:W108)</f>
        <v>0</v>
      </c>
      <c r="Y109" s="147">
        <f t="shared" ref="Y109:AL109" si="144">SUM(Y63:Y108)</f>
        <v>0</v>
      </c>
      <c r="Z109" s="147">
        <f t="shared" si="144"/>
        <v>0</v>
      </c>
      <c r="AA109" s="147">
        <f t="shared" si="144"/>
        <v>0</v>
      </c>
      <c r="AB109" s="147">
        <f t="shared" si="144"/>
        <v>0</v>
      </c>
      <c r="AC109" s="147">
        <f t="shared" si="144"/>
        <v>0</v>
      </c>
      <c r="AD109" s="147">
        <f t="shared" si="144"/>
        <v>0</v>
      </c>
      <c r="AE109" s="147">
        <f t="shared" si="144"/>
        <v>0</v>
      </c>
      <c r="AF109" s="147">
        <f t="shared" si="144"/>
        <v>0</v>
      </c>
      <c r="AG109" s="147">
        <f t="shared" si="144"/>
        <v>0</v>
      </c>
      <c r="AH109" s="147">
        <f t="shared" si="144"/>
        <v>0</v>
      </c>
      <c r="AI109" s="147">
        <f t="shared" si="144"/>
        <v>0</v>
      </c>
      <c r="AJ109" s="147">
        <f t="shared" si="144"/>
        <v>0</v>
      </c>
      <c r="AK109" s="147">
        <f t="shared" si="144"/>
        <v>0</v>
      </c>
      <c r="AL109" s="147">
        <f t="shared" si="144"/>
        <v>0</v>
      </c>
    </row>
    <row r="110" spans="1:38" ht="19.8" thickBot="1" x14ac:dyDescent="0.35">
      <c r="E110" s="136"/>
      <c r="F110" s="48" t="s">
        <v>470</v>
      </c>
      <c r="G110" s="48" t="s">
        <v>400</v>
      </c>
      <c r="H110" s="48" t="s">
        <v>414</v>
      </c>
      <c r="I110" s="48" t="s">
        <v>415</v>
      </c>
      <c r="J110" s="48" t="s">
        <v>416</v>
      </c>
      <c r="K110" s="48" t="s">
        <v>417</v>
      </c>
      <c r="L110" s="48" t="s">
        <v>418</v>
      </c>
      <c r="M110" s="57" t="s">
        <v>419</v>
      </c>
      <c r="N110" s="60"/>
      <c r="O110" t="s">
        <v>621</v>
      </c>
      <c r="S110" t="s">
        <v>609</v>
      </c>
      <c r="V110" s="142" t="s">
        <v>614</v>
      </c>
      <c r="W110" s="141" t="s">
        <v>616</v>
      </c>
    </row>
    <row r="111" spans="1:38" ht="15" thickBot="1" x14ac:dyDescent="0.35">
      <c r="E111" s="94" t="s">
        <v>518</v>
      </c>
      <c r="F111" s="145">
        <f>SUM(F69,F77,F85,F93,F101,F109)</f>
        <v>0</v>
      </c>
      <c r="G111" s="50">
        <f>SUM(G69,G77,G85,G93,G101,G109,O111)</f>
        <v>0</v>
      </c>
      <c r="H111" s="50">
        <f t="shared" ref="H111:M111" si="145">SUM(H69,H77,H85,H93,H101,H109)</f>
        <v>0</v>
      </c>
      <c r="I111" s="50">
        <f t="shared" si="145"/>
        <v>0</v>
      </c>
      <c r="J111" s="50">
        <f t="shared" si="145"/>
        <v>0</v>
      </c>
      <c r="K111" s="50">
        <f t="shared" si="145"/>
        <v>0</v>
      </c>
      <c r="L111" s="50">
        <f t="shared" si="145"/>
        <v>0</v>
      </c>
      <c r="M111" s="51">
        <f t="shared" si="145"/>
        <v>0</v>
      </c>
      <c r="O111" s="52">
        <f>SUM(P103:R108,Q95:R100,R87:R92)</f>
        <v>0</v>
      </c>
      <c r="S111">
        <f>SUM(S102,S94,S86,S78,S70,S69)</f>
        <v>0</v>
      </c>
      <c r="U111" s="115" t="s">
        <v>617</v>
      </c>
      <c r="V111" s="75">
        <f>SUM(V109,V101,V93,V85,V77,V69,)</f>
        <v>0</v>
      </c>
      <c r="W111" s="77">
        <f>SUM(W109,W101,W93,W85,W77,W69,)</f>
        <v>0</v>
      </c>
    </row>
    <row r="112" spans="1:38" hidden="1" x14ac:dyDescent="0.3">
      <c r="B112" t="s">
        <v>516</v>
      </c>
      <c r="E112" s="143" t="s">
        <v>520</v>
      </c>
      <c r="F112" s="40"/>
      <c r="G112" t="str">
        <f t="shared" ref="G112:M112" si="146">IF(D35="",D34,D35)</f>
        <v/>
      </c>
      <c r="H112" t="str">
        <f t="shared" si="146"/>
        <v/>
      </c>
      <c r="I112" t="str">
        <f t="shared" si="146"/>
        <v/>
      </c>
      <c r="J112" t="str">
        <f t="shared" si="146"/>
        <v/>
      </c>
      <c r="K112" t="str">
        <f t="shared" si="146"/>
        <v/>
      </c>
      <c r="L112" t="str">
        <f t="shared" si="146"/>
        <v/>
      </c>
      <c r="M112" s="43" t="str">
        <f t="shared" si="146"/>
        <v/>
      </c>
    </row>
    <row r="113" spans="1:19" hidden="1" x14ac:dyDescent="0.3">
      <c r="B113" t="s">
        <v>516</v>
      </c>
      <c r="E113" s="95" t="s">
        <v>519</v>
      </c>
      <c r="F113" s="40"/>
      <c r="G113" s="52" t="str">
        <f t="shared" ref="G113:J113" si="147">IF(G112=0,100,IF(G112="","",100*(G111/G112)))</f>
        <v/>
      </c>
      <c r="H113" s="52" t="str">
        <f t="shared" si="147"/>
        <v/>
      </c>
      <c r="I113" s="52" t="str">
        <f t="shared" si="147"/>
        <v/>
      </c>
      <c r="J113" s="52" t="str">
        <f t="shared" si="147"/>
        <v/>
      </c>
      <c r="K113" s="52" t="str">
        <f>IF(K112=0,100,IF(K112="","",100*(K111/K112)))</f>
        <v/>
      </c>
      <c r="L113" s="52" t="str">
        <f>IF(L112=0,100,IF(L112="","",100*(L111/L112)))</f>
        <v/>
      </c>
      <c r="M113" s="53" t="str">
        <f>IF(M112=0,100,IF(M112="","",100*(M111/M112)))</f>
        <v/>
      </c>
    </row>
    <row r="114" spans="1:19" hidden="1" x14ac:dyDescent="0.3">
      <c r="B114" t="s">
        <v>517</v>
      </c>
      <c r="E114" s="143" t="s">
        <v>529</v>
      </c>
      <c r="F114" s="40"/>
      <c r="G114" s="52">
        <f t="shared" ref="G114:M114" si="148">D31</f>
        <v>0</v>
      </c>
      <c r="H114" s="52">
        <f t="shared" si="148"/>
        <v>0</v>
      </c>
      <c r="I114" s="52">
        <f t="shared" si="148"/>
        <v>0</v>
      </c>
      <c r="J114" s="52">
        <f t="shared" si="148"/>
        <v>0</v>
      </c>
      <c r="K114" s="52">
        <f t="shared" si="148"/>
        <v>0</v>
      </c>
      <c r="L114" s="52">
        <f t="shared" si="148"/>
        <v>0</v>
      </c>
      <c r="M114" s="53">
        <f t="shared" si="148"/>
        <v>0</v>
      </c>
    </row>
    <row r="115" spans="1:19" hidden="1" x14ac:dyDescent="0.3">
      <c r="B115" t="s">
        <v>517</v>
      </c>
      <c r="E115" s="95" t="s">
        <v>519</v>
      </c>
      <c r="F115" s="40"/>
      <c r="G115" s="52">
        <f t="shared" ref="G115:J115" si="149">IF(G114=0,100,IF(G114="","",100*(G111/G114)))</f>
        <v>100</v>
      </c>
      <c r="H115" s="52">
        <f t="shared" si="149"/>
        <v>100</v>
      </c>
      <c r="I115" s="52">
        <f t="shared" si="149"/>
        <v>100</v>
      </c>
      <c r="J115" s="52">
        <f t="shared" si="149"/>
        <v>100</v>
      </c>
      <c r="K115" s="52">
        <f>IF(K114=0,100,IF(K114="","",100*(K111/K114)))</f>
        <v>100</v>
      </c>
      <c r="L115" s="52">
        <f t="shared" ref="L115:M115" si="150">IF(L114=0,100,IF(L114="","",100*(L111/L114)))</f>
        <v>100</v>
      </c>
      <c r="M115" s="53">
        <f t="shared" si="150"/>
        <v>100</v>
      </c>
    </row>
    <row r="116" spans="1:19" hidden="1" x14ac:dyDescent="0.3">
      <c r="E116" s="95"/>
      <c r="F116" s="40"/>
      <c r="G116" s="83">
        <v>100</v>
      </c>
      <c r="H116" s="83">
        <v>100</v>
      </c>
      <c r="I116" s="83">
        <v>100</v>
      </c>
      <c r="J116" s="83">
        <v>100</v>
      </c>
      <c r="K116" s="83">
        <v>100</v>
      </c>
      <c r="L116" s="83">
        <v>100</v>
      </c>
      <c r="M116" s="137">
        <v>100</v>
      </c>
    </row>
    <row r="117" spans="1:19" x14ac:dyDescent="0.3">
      <c r="B117" t="str" cm="1">
        <f t="array" ref="B117:M118">_xlfn._xlws.FILTER(B112:M115,B112:B115=C20)</f>
        <v>Per jaar</v>
      </c>
      <c r="C117">
        <v>0</v>
      </c>
      <c r="D117">
        <v>0</v>
      </c>
      <c r="E117" s="143" t="str">
        <v>ADVIES</v>
      </c>
      <c r="F117" s="40">
        <v>0</v>
      </c>
      <c r="G117" s="52" t="str">
        <v/>
      </c>
      <c r="H117" s="52" t="str">
        <v/>
      </c>
      <c r="I117" s="52" t="str">
        <v/>
      </c>
      <c r="J117" s="52" t="str">
        <v/>
      </c>
      <c r="K117" s="52" t="str">
        <v/>
      </c>
      <c r="L117" s="52" t="str">
        <v/>
      </c>
      <c r="M117" s="53" t="str">
        <v/>
      </c>
    </row>
    <row r="118" spans="1:19" ht="13.95" customHeight="1" thickBot="1" x14ac:dyDescent="0.35">
      <c r="B118" t="str">
        <v>Per jaar</v>
      </c>
      <c r="C118">
        <v>0</v>
      </c>
      <c r="D118">
        <v>0</v>
      </c>
      <c r="E118" s="96" t="str">
        <v>Percentage van advies bemest</v>
      </c>
      <c r="F118" s="37">
        <v>0</v>
      </c>
      <c r="G118" s="54" t="str">
        <v/>
      </c>
      <c r="H118" s="54" t="str">
        <v/>
      </c>
      <c r="I118" s="54" t="str">
        <v/>
      </c>
      <c r="J118" s="54" t="str">
        <v/>
      </c>
      <c r="K118" s="54" t="str">
        <v/>
      </c>
      <c r="L118" s="54" t="str">
        <v/>
      </c>
      <c r="M118" s="55" t="str">
        <v/>
      </c>
    </row>
    <row r="119" spans="1:19" hidden="1" x14ac:dyDescent="0.3">
      <c r="G119" s="127">
        <v>100</v>
      </c>
      <c r="H119" s="127">
        <v>100</v>
      </c>
      <c r="I119" s="127">
        <v>100</v>
      </c>
      <c r="J119" s="127">
        <v>100</v>
      </c>
      <c r="K119" s="127">
        <v>100</v>
      </c>
      <c r="L119" s="127">
        <v>100</v>
      </c>
      <c r="M119" s="127">
        <v>100</v>
      </c>
    </row>
    <row r="120" spans="1:19" x14ac:dyDescent="0.3">
      <c r="E120" s="42" t="str">
        <f>IF(_xlfn.CONCAT(E121:M124)="","","Waarschuwingen:")</f>
        <v/>
      </c>
      <c r="G120" s="151">
        <v>100</v>
      </c>
      <c r="H120" s="151">
        <v>100</v>
      </c>
      <c r="I120" s="151">
        <v>100</v>
      </c>
      <c r="J120" s="151">
        <v>100</v>
      </c>
      <c r="K120" s="151">
        <v>100</v>
      </c>
      <c r="L120" s="151">
        <v>100</v>
      </c>
      <c r="M120" s="151">
        <v>100</v>
      </c>
      <c r="N120" s="52">
        <v>100</v>
      </c>
      <c r="O120" s="52">
        <v>100</v>
      </c>
      <c r="P120" s="52">
        <v>100</v>
      </c>
      <c r="Q120" s="52">
        <v>100</v>
      </c>
      <c r="R120" s="52">
        <v>100</v>
      </c>
      <c r="S120" s="52">
        <v>100</v>
      </c>
    </row>
    <row r="121" spans="1:19" x14ac:dyDescent="0.3">
      <c r="E121" s="219" t="str">
        <f>IF(O111&gt;0,_xlfn.CONCAT("Er komt vermoedelijk nog ",O111," kg N vrij na het nemen van de laatste snede. Zet de meststof met langere vrijgave best wat eerder in voor een betere N-benutting en het verlagen van uitspoeling."),"")</f>
        <v/>
      </c>
      <c r="F121" s="219"/>
      <c r="G121" s="219"/>
      <c r="H121" s="219"/>
      <c r="I121" s="219"/>
      <c r="J121" s="219"/>
      <c r="K121" s="219"/>
      <c r="L121" s="219"/>
      <c r="M121" s="219"/>
      <c r="N121" s="52"/>
      <c r="O121" s="52"/>
      <c r="P121" s="52"/>
      <c r="Q121" s="52"/>
      <c r="R121" s="52"/>
      <c r="S121" s="52"/>
    </row>
    <row r="122" spans="1:19" ht="14.4" customHeight="1" x14ac:dyDescent="0.3">
      <c r="E122" s="212" t="str">
        <f>IF(F111&gt;C16,"Let op dat u niet teveel dierlijke stikstof op het grasland brengt! De norm is 170, maar op perceelsniveau kan tot maximaal 150% (255 kg Ndier) worden afgeweken, indien er op bedrijfsniveau wel aan de 170 wordt voldaan.","")</f>
        <v/>
      </c>
      <c r="F122" s="212"/>
      <c r="G122" s="212"/>
      <c r="H122" s="212"/>
      <c r="I122" s="212"/>
      <c r="J122" s="212"/>
      <c r="K122" s="212"/>
      <c r="L122" s="212"/>
      <c r="M122" s="212"/>
      <c r="N122" s="52"/>
      <c r="O122" s="52"/>
      <c r="P122" s="52"/>
      <c r="Q122" s="52"/>
      <c r="R122" s="52"/>
      <c r="S122" s="52"/>
    </row>
    <row r="123" spans="1:19" ht="15" customHeight="1" x14ac:dyDescent="0.3">
      <c r="E123" s="212" t="str">
        <f>IF(G111&gt;D16,_xlfn.CONCAT("Let op dat u niet teveel werkzame stikstof op het grasland brengt! De norm is ",D16,", maar op perceelsniveau kan tot maximaal 125% (",D16*1.25," kg Nwerkzaam) worden afgeweken, indien er op bedrijfsniveau wel aan de normen wordt voldaan."),"")</f>
        <v/>
      </c>
      <c r="F123" s="212"/>
      <c r="G123" s="212"/>
      <c r="H123" s="212"/>
      <c r="I123" s="212"/>
      <c r="J123" s="212"/>
      <c r="K123" s="212"/>
      <c r="L123" s="212"/>
      <c r="M123" s="212"/>
      <c r="N123" s="52"/>
      <c r="O123" s="52"/>
      <c r="P123" s="52"/>
      <c r="Q123" s="52"/>
      <c r="R123" s="52"/>
      <c r="S123" s="52"/>
    </row>
    <row r="124" spans="1:19" ht="16.8" customHeight="1" x14ac:dyDescent="0.3">
      <c r="E124" s="212" t="str">
        <f>IF(H111&gt;E16,_xlfn.CONCAT("Pas op u overschrijdt de fosfaatnorm van ",E16," kg ",E15," voor dit perceel."),"")</f>
        <v/>
      </c>
      <c r="F124" s="212"/>
      <c r="G124" s="212"/>
      <c r="H124" s="212"/>
      <c r="I124" s="212"/>
      <c r="J124" s="212"/>
      <c r="K124" s="212"/>
      <c r="L124" s="212"/>
      <c r="M124" s="212"/>
      <c r="N124" s="52"/>
      <c r="O124" s="52"/>
      <c r="P124" s="52"/>
      <c r="Q124" s="52"/>
      <c r="R124" s="52"/>
      <c r="S124" s="52"/>
    </row>
    <row r="125" spans="1:19" x14ac:dyDescent="0.3">
      <c r="A125" s="52"/>
      <c r="E125" s="4" t="s">
        <v>521</v>
      </c>
    </row>
    <row r="126" spans="1:19" x14ac:dyDescent="0.3">
      <c r="E126" t="s">
        <v>465</v>
      </c>
      <c r="G126" s="52" t="e">
        <f t="shared" ref="G126:M126" si="151">100*(G69/G111)</f>
        <v>#DIV/0!</v>
      </c>
      <c r="H126" s="52" t="e">
        <f t="shared" si="151"/>
        <v>#DIV/0!</v>
      </c>
      <c r="I126" s="52" t="e">
        <f t="shared" si="151"/>
        <v>#DIV/0!</v>
      </c>
      <c r="J126" s="52" t="e">
        <f t="shared" si="151"/>
        <v>#DIV/0!</v>
      </c>
      <c r="K126" s="52" t="e">
        <f t="shared" si="151"/>
        <v>#DIV/0!</v>
      </c>
      <c r="L126" s="52" t="e">
        <f t="shared" si="151"/>
        <v>#DIV/0!</v>
      </c>
      <c r="M126" s="52" t="e">
        <f t="shared" si="151"/>
        <v>#DIV/0!</v>
      </c>
    </row>
    <row r="127" spans="1:19" x14ac:dyDescent="0.3">
      <c r="E127" t="s">
        <v>499</v>
      </c>
      <c r="G127" s="52" t="e">
        <f t="shared" ref="G127:M127" si="152">100*(G77/G111)</f>
        <v>#DIV/0!</v>
      </c>
      <c r="H127" s="52" t="e">
        <f t="shared" si="152"/>
        <v>#DIV/0!</v>
      </c>
      <c r="I127" s="52" t="e">
        <f t="shared" si="152"/>
        <v>#DIV/0!</v>
      </c>
      <c r="J127" s="52" t="e">
        <f t="shared" si="152"/>
        <v>#DIV/0!</v>
      </c>
      <c r="K127" s="52" t="e">
        <f t="shared" si="152"/>
        <v>#DIV/0!</v>
      </c>
      <c r="L127" s="52" t="e">
        <f t="shared" si="152"/>
        <v>#DIV/0!</v>
      </c>
      <c r="M127" s="52" t="e">
        <f t="shared" si="152"/>
        <v>#DIV/0!</v>
      </c>
    </row>
    <row r="128" spans="1:19" x14ac:dyDescent="0.3">
      <c r="E128" t="s">
        <v>500</v>
      </c>
      <c r="G128" s="52" t="e">
        <f t="shared" ref="G128:M128" si="153">100*(G85/G111)</f>
        <v>#DIV/0!</v>
      </c>
      <c r="H128" s="52" t="e">
        <f t="shared" si="153"/>
        <v>#DIV/0!</v>
      </c>
      <c r="I128" s="52" t="e">
        <f t="shared" si="153"/>
        <v>#DIV/0!</v>
      </c>
      <c r="J128" s="52" t="e">
        <f t="shared" si="153"/>
        <v>#DIV/0!</v>
      </c>
      <c r="K128" s="52" t="e">
        <f t="shared" si="153"/>
        <v>#DIV/0!</v>
      </c>
      <c r="L128" s="52" t="e">
        <f t="shared" si="153"/>
        <v>#DIV/0!</v>
      </c>
      <c r="M128" s="52" t="e">
        <f t="shared" si="153"/>
        <v>#DIV/0!</v>
      </c>
    </row>
    <row r="129" spans="3:13" x14ac:dyDescent="0.3">
      <c r="E129" t="s">
        <v>501</v>
      </c>
      <c r="G129" s="52" t="e">
        <f t="shared" ref="G129:M129" si="154">100*(G93/G111)</f>
        <v>#DIV/0!</v>
      </c>
      <c r="H129" s="52" t="e">
        <f t="shared" si="154"/>
        <v>#DIV/0!</v>
      </c>
      <c r="I129" s="52" t="e">
        <f t="shared" si="154"/>
        <v>#DIV/0!</v>
      </c>
      <c r="J129" s="52" t="e">
        <f t="shared" si="154"/>
        <v>#DIV/0!</v>
      </c>
      <c r="K129" s="52" t="e">
        <f t="shared" si="154"/>
        <v>#DIV/0!</v>
      </c>
      <c r="L129" s="52" t="e">
        <f t="shared" si="154"/>
        <v>#DIV/0!</v>
      </c>
      <c r="M129" s="52" t="e">
        <f t="shared" si="154"/>
        <v>#DIV/0!</v>
      </c>
    </row>
    <row r="130" spans="3:13" x14ac:dyDescent="0.3">
      <c r="E130" t="s">
        <v>502</v>
      </c>
      <c r="G130" s="52" t="e">
        <f t="shared" ref="G130:M130" si="155">100*(G101/G111)</f>
        <v>#DIV/0!</v>
      </c>
      <c r="H130" s="52" t="e">
        <f t="shared" si="155"/>
        <v>#DIV/0!</v>
      </c>
      <c r="I130" s="52" t="e">
        <f t="shared" si="155"/>
        <v>#DIV/0!</v>
      </c>
      <c r="J130" s="52" t="e">
        <f t="shared" si="155"/>
        <v>#DIV/0!</v>
      </c>
      <c r="K130" s="52" t="e">
        <f t="shared" si="155"/>
        <v>#DIV/0!</v>
      </c>
      <c r="L130" s="52" t="e">
        <f t="shared" si="155"/>
        <v>#DIV/0!</v>
      </c>
      <c r="M130" s="52" t="e">
        <f t="shared" si="155"/>
        <v>#DIV/0!</v>
      </c>
    </row>
    <row r="131" spans="3:13" x14ac:dyDescent="0.3">
      <c r="E131" t="s">
        <v>503</v>
      </c>
      <c r="G131" s="52" t="e">
        <f>100*(G109/G111)</f>
        <v>#DIV/0!</v>
      </c>
      <c r="H131" s="52" t="e">
        <f t="shared" ref="H131:M131" si="156">100*(H109/H111)</f>
        <v>#DIV/0!</v>
      </c>
      <c r="I131" s="52" t="e">
        <f t="shared" si="156"/>
        <v>#DIV/0!</v>
      </c>
      <c r="J131" s="52" t="e">
        <f t="shared" si="156"/>
        <v>#DIV/0!</v>
      </c>
      <c r="K131" s="52" t="e">
        <f t="shared" si="156"/>
        <v>#DIV/0!</v>
      </c>
      <c r="L131" s="52" t="e">
        <f t="shared" si="156"/>
        <v>#DIV/0!</v>
      </c>
      <c r="M131" s="52" t="e">
        <f t="shared" si="156"/>
        <v>#DIV/0!</v>
      </c>
    </row>
    <row r="132" spans="3:13" x14ac:dyDescent="0.3">
      <c r="G132" s="52"/>
      <c r="H132" s="52"/>
      <c r="I132" s="52"/>
      <c r="J132" s="52"/>
      <c r="K132" s="52"/>
      <c r="L132" s="52"/>
      <c r="M132" s="52"/>
    </row>
    <row r="133" spans="3:13" x14ac:dyDescent="0.3">
      <c r="E133" s="4" t="s">
        <v>519</v>
      </c>
      <c r="G133" s="52"/>
      <c r="H133" s="52"/>
      <c r="I133" s="52"/>
      <c r="J133" s="52"/>
      <c r="K133" s="52"/>
      <c r="L133" s="52"/>
      <c r="M133" s="52"/>
    </row>
    <row r="134" spans="3:13" x14ac:dyDescent="0.3">
      <c r="E134" t="s">
        <v>465</v>
      </c>
      <c r="G134" s="52" t="str">
        <f t="shared" ref="G134:M134" si="157">IFERROR(100*(G69/D35),"")</f>
        <v/>
      </c>
      <c r="H134" s="52" t="str">
        <f t="shared" si="157"/>
        <v/>
      </c>
      <c r="I134" s="52" t="str">
        <f t="shared" si="157"/>
        <v/>
      </c>
      <c r="J134" s="52" t="str">
        <f t="shared" si="157"/>
        <v/>
      </c>
      <c r="K134" s="52" t="str">
        <f t="shared" si="157"/>
        <v/>
      </c>
      <c r="L134" s="52" t="str">
        <f t="shared" si="157"/>
        <v/>
      </c>
      <c r="M134" s="52" t="str">
        <f t="shared" si="157"/>
        <v/>
      </c>
    </row>
    <row r="135" spans="3:13" x14ac:dyDescent="0.3">
      <c r="E135" t="s">
        <v>499</v>
      </c>
      <c r="G135" s="52" t="str">
        <f t="shared" ref="G135:M135" si="158">IFERROR(100*(G77/D36),"")</f>
        <v/>
      </c>
      <c r="H135" s="52" t="str">
        <f t="shared" si="158"/>
        <v/>
      </c>
      <c r="I135" s="52" t="str">
        <f t="shared" si="158"/>
        <v/>
      </c>
      <c r="J135" s="52" t="str">
        <f t="shared" si="158"/>
        <v/>
      </c>
      <c r="K135" s="52" t="str">
        <f t="shared" si="158"/>
        <v/>
      </c>
      <c r="L135" s="52" t="str">
        <f t="shared" si="158"/>
        <v/>
      </c>
      <c r="M135" s="52" t="str">
        <f t="shared" si="158"/>
        <v/>
      </c>
    </row>
    <row r="136" spans="3:13" x14ac:dyDescent="0.3">
      <c r="E136" t="s">
        <v>531</v>
      </c>
      <c r="G136" s="152" t="str">
        <f t="shared" ref="G136:M136" si="159">IFERROR(100*((G69+G77)/(D35+D36)),"")</f>
        <v/>
      </c>
      <c r="H136" s="52" t="str">
        <f t="shared" si="159"/>
        <v/>
      </c>
      <c r="I136" s="52" t="str">
        <f t="shared" si="159"/>
        <v/>
      </c>
      <c r="J136" s="52" t="str">
        <f t="shared" si="159"/>
        <v/>
      </c>
      <c r="K136" s="52" t="str">
        <f t="shared" si="159"/>
        <v/>
      </c>
      <c r="L136" s="52" t="str">
        <f t="shared" si="159"/>
        <v/>
      </c>
      <c r="M136" s="52" t="str">
        <f t="shared" si="159"/>
        <v/>
      </c>
    </row>
    <row r="137" spans="3:13" x14ac:dyDescent="0.3">
      <c r="E137" t="s">
        <v>500</v>
      </c>
      <c r="G137" s="52" t="str">
        <f t="shared" ref="G137:M137" si="160">IFERROR(100*(G85/D37),"")</f>
        <v/>
      </c>
      <c r="H137" s="52" t="str">
        <f t="shared" si="160"/>
        <v/>
      </c>
      <c r="I137" s="52" t="str">
        <f t="shared" si="160"/>
        <v/>
      </c>
      <c r="J137" s="52" t="str">
        <f t="shared" si="160"/>
        <v/>
      </c>
      <c r="K137" s="52" t="str">
        <f t="shared" si="160"/>
        <v/>
      </c>
      <c r="L137" s="52" t="str">
        <f t="shared" si="160"/>
        <v/>
      </c>
      <c r="M137" s="52" t="str">
        <f t="shared" si="160"/>
        <v/>
      </c>
    </row>
    <row r="138" spans="3:13" x14ac:dyDescent="0.3">
      <c r="E138" t="s">
        <v>501</v>
      </c>
      <c r="G138" s="52" t="str">
        <f t="shared" ref="G138:M138" si="161">IFERROR(100*(G93/D38),"")</f>
        <v/>
      </c>
      <c r="H138" s="52" t="str">
        <f t="shared" si="161"/>
        <v/>
      </c>
      <c r="I138" s="52" t="str">
        <f t="shared" si="161"/>
        <v/>
      </c>
      <c r="J138" s="52" t="str">
        <f t="shared" si="161"/>
        <v/>
      </c>
      <c r="K138" s="52" t="str">
        <f t="shared" si="161"/>
        <v/>
      </c>
      <c r="L138" s="52" t="str">
        <f t="shared" si="161"/>
        <v/>
      </c>
      <c r="M138" s="52" t="str">
        <f t="shared" si="161"/>
        <v/>
      </c>
    </row>
    <row r="139" spans="3:13" x14ac:dyDescent="0.3">
      <c r="E139" t="s">
        <v>502</v>
      </c>
      <c r="G139" s="52" t="str">
        <f t="shared" ref="G139:M139" si="162">IFERROR(100*(G101/D39),"")</f>
        <v/>
      </c>
      <c r="H139" s="52" t="str">
        <f t="shared" si="162"/>
        <v/>
      </c>
      <c r="I139" s="52" t="str">
        <f t="shared" si="162"/>
        <v/>
      </c>
      <c r="J139" s="52" t="str">
        <f t="shared" si="162"/>
        <v/>
      </c>
      <c r="K139" s="52" t="str">
        <f t="shared" si="162"/>
        <v/>
      </c>
      <c r="L139" s="52" t="str">
        <f t="shared" si="162"/>
        <v/>
      </c>
      <c r="M139" s="52" t="str">
        <f t="shared" si="162"/>
        <v/>
      </c>
    </row>
    <row r="140" spans="3:13" x14ac:dyDescent="0.3">
      <c r="E140" t="s">
        <v>503</v>
      </c>
      <c r="G140" s="52" t="str">
        <f t="shared" ref="G140:M140" si="163">IFERROR(100*(G109/D40),"")</f>
        <v/>
      </c>
      <c r="H140" s="52" t="str">
        <f t="shared" si="163"/>
        <v/>
      </c>
      <c r="I140" s="52" t="str">
        <f t="shared" si="163"/>
        <v/>
      </c>
      <c r="J140" s="52" t="str">
        <f t="shared" si="163"/>
        <v/>
      </c>
      <c r="K140" s="52" t="str">
        <f t="shared" si="163"/>
        <v/>
      </c>
      <c r="L140" s="52" t="str">
        <f t="shared" si="163"/>
        <v/>
      </c>
      <c r="M140" s="52" t="str">
        <f t="shared" si="163"/>
        <v/>
      </c>
    </row>
    <row r="142" spans="3:13" ht="18" x14ac:dyDescent="0.35">
      <c r="C142" s="29" t="s">
        <v>633</v>
      </c>
    </row>
    <row r="144" spans="3:13" ht="15.6" x14ac:dyDescent="0.3">
      <c r="C144" s="33"/>
      <c r="D144" s="41" t="s">
        <v>600</v>
      </c>
      <c r="E144" s="41" t="s">
        <v>599</v>
      </c>
      <c r="F144" s="41" t="s">
        <v>604</v>
      </c>
      <c r="G144" s="4"/>
      <c r="H144" s="4"/>
    </row>
    <row r="145" spans="3:6" x14ac:dyDescent="0.3">
      <c r="C145" s="126" t="s">
        <v>601</v>
      </c>
      <c r="D145" s="204"/>
      <c r="E145" s="204"/>
      <c r="F145" s="86">
        <f>D145*E145/(1000*6.25)</f>
        <v>0</v>
      </c>
    </row>
    <row r="146" spans="3:6" x14ac:dyDescent="0.3">
      <c r="C146" s="126" t="s">
        <v>512</v>
      </c>
      <c r="D146" s="154"/>
      <c r="E146" s="154"/>
      <c r="F146" s="86">
        <f>D146*E146/(1000*6.25)</f>
        <v>0</v>
      </c>
    </row>
    <row r="147" spans="3:6" x14ac:dyDescent="0.3">
      <c r="C147" s="126" t="s">
        <v>513</v>
      </c>
      <c r="D147" s="205"/>
      <c r="E147" s="205"/>
      <c r="F147" s="86">
        <f>D147*E147/(1000*6.25)</f>
        <v>0</v>
      </c>
    </row>
    <row r="148" spans="3:6" x14ac:dyDescent="0.3">
      <c r="C148" s="126" t="s">
        <v>514</v>
      </c>
      <c r="D148" s="205"/>
      <c r="E148" s="205"/>
      <c r="F148" s="86">
        <f>D148*E148/(1000*6.25)</f>
        <v>0</v>
      </c>
    </row>
    <row r="149" spans="3:6" x14ac:dyDescent="0.3">
      <c r="C149" s="126" t="s">
        <v>602</v>
      </c>
      <c r="D149" s="205"/>
      <c r="E149" s="205"/>
      <c r="F149" s="86">
        <f t="shared" ref="F149:F150" si="164">D149*E149/(1000*6.25)</f>
        <v>0</v>
      </c>
    </row>
    <row r="150" spans="3:6" x14ac:dyDescent="0.3">
      <c r="C150" s="126" t="s">
        <v>603</v>
      </c>
      <c r="D150" s="205"/>
      <c r="E150" s="205"/>
      <c r="F150" s="86">
        <f t="shared" si="164"/>
        <v>0</v>
      </c>
    </row>
    <row r="151" spans="3:6" ht="15.6" x14ac:dyDescent="0.3">
      <c r="D151" s="41" t="s">
        <v>606</v>
      </c>
      <c r="E151" s="159" t="str">
        <f>IF(D10=6,(SUM(F145:F150)/G111)*100,IF(D10=5,(SUM(F145:F149)/G111)*100,IF(D10=4,(SUM(F145:F148)/G111)*100,IF(D10=3,(SUM(F145:F147)/G111)*100,IF(D10=2,(SUM(F145:F146)/G111)*100,IF(D10=1,(F145/G111)*100,"Error"))))))</f>
        <v>Error</v>
      </c>
      <c r="F151" s="160" t="s">
        <v>610</v>
      </c>
    </row>
    <row r="152" spans="3:6" ht="15.6" x14ac:dyDescent="0.3">
      <c r="D152" s="41" t="s">
        <v>607</v>
      </c>
      <c r="E152" s="159" t="str">
        <f>IF(D10=6,(SUM(F145:F150)/S111)*100,IF(D10=5,(SUM(F145:F149)/S111)*100,IF(D10=4,(SUM(F145:F148)/S111)*100,IF(D10=3,(SUM(F145:F147)/S111)*100,IF(D10=2,(SUM(F145:F146)/S111)*100,IF(D10=1,(F145/S111)*100,"Error"))))))</f>
        <v>Error</v>
      </c>
      <c r="F152" s="160" t="s">
        <v>610</v>
      </c>
    </row>
  </sheetData>
  <sheetProtection algorithmName="SHA-512" hashValue="KHoas8QtGIzdafUXi0uSWiY2TuIMEzH8WqEKesNn8PWE6eNSCwJLlaXKQdx3hSlRoCN4mxbXe1ogycLHlEgYUA==" saltValue="rk7JazDtoAeKJuC6aJAtNg==" spinCount="100000" sheet="1" objects="1" scenarios="1" selectLockedCells="1"/>
  <mergeCells count="8">
    <mergeCell ref="E123:M123"/>
    <mergeCell ref="E124:M124"/>
    <mergeCell ref="N2:O2"/>
    <mergeCell ref="P2:R2"/>
    <mergeCell ref="U33:Z33"/>
    <mergeCell ref="N43:Q43"/>
    <mergeCell ref="E121:M121"/>
    <mergeCell ref="E122:M122"/>
  </mergeCells>
  <conditionalFormatting sqref="A95:A100">
    <cfRule type="expression" dxfId="351" priority="13">
      <formula>$D$10&lt;5</formula>
    </cfRule>
  </conditionalFormatting>
  <conditionalFormatting sqref="A103:A108">
    <cfRule type="expression" dxfId="350" priority="14">
      <formula>$D$10&lt;6</formula>
    </cfRule>
  </conditionalFormatting>
  <conditionalFormatting sqref="A71:D76">
    <cfRule type="expression" dxfId="349" priority="10">
      <formula>$D$10&lt;2</formula>
    </cfRule>
  </conditionalFormatting>
  <conditionalFormatting sqref="A79:D84">
    <cfRule type="expression" dxfId="348" priority="11">
      <formula>$D$10&lt;3</formula>
    </cfRule>
  </conditionalFormatting>
  <conditionalFormatting sqref="A87:D92">
    <cfRule type="expression" dxfId="347" priority="12">
      <formula>$D$10&lt;4</formula>
    </cfRule>
  </conditionalFormatting>
  <conditionalFormatting sqref="C34:C41">
    <cfRule type="notContainsBlanks" dxfId="346" priority="88">
      <formula>LEN(TRIM(C34))&gt;0</formula>
    </cfRule>
  </conditionalFormatting>
  <conditionalFormatting sqref="C11:D11">
    <cfRule type="expression" dxfId="345" priority="77">
      <formula>$D$5="Maaien"</formula>
    </cfRule>
  </conditionalFormatting>
  <conditionalFormatting sqref="C95:D100">
    <cfRule type="expression" dxfId="344" priority="15">
      <formula>$D$10&lt;5</formula>
    </cfRule>
  </conditionalFormatting>
  <conditionalFormatting sqref="C103:D108">
    <cfRule type="expression" dxfId="343" priority="16">
      <formula>$D$10&lt;6</formula>
    </cfRule>
  </conditionalFormatting>
  <conditionalFormatting sqref="C117:F118">
    <cfRule type="cellIs" dxfId="342" priority="84" operator="equal">
      <formula>0</formula>
    </cfRule>
  </conditionalFormatting>
  <conditionalFormatting sqref="C145:F145">
    <cfRule type="expression" dxfId="341" priority="17">
      <formula>$D$10=1</formula>
    </cfRule>
  </conditionalFormatting>
  <conditionalFormatting sqref="C146:F146">
    <cfRule type="expression" dxfId="340" priority="18">
      <formula>$D$10&lt;2</formula>
    </cfRule>
    <cfRule type="expression" dxfId="339" priority="19">
      <formula>$D$10=2</formula>
    </cfRule>
  </conditionalFormatting>
  <conditionalFormatting sqref="C147:F147">
    <cfRule type="expression" dxfId="338" priority="20">
      <formula>$D$10&lt;3</formula>
    </cfRule>
    <cfRule type="expression" dxfId="337" priority="21">
      <formula>$D$10=3</formula>
    </cfRule>
  </conditionalFormatting>
  <conditionalFormatting sqref="C148:F148">
    <cfRule type="expression" dxfId="336" priority="22">
      <formula>$D$10&lt;4</formula>
    </cfRule>
    <cfRule type="expression" dxfId="335" priority="23">
      <formula>$D$10=4</formula>
    </cfRule>
  </conditionalFormatting>
  <conditionalFormatting sqref="C149:F149">
    <cfRule type="expression" dxfId="334" priority="25">
      <formula>$D$10=5</formula>
    </cfRule>
    <cfRule type="expression" dxfId="333" priority="24">
      <formula>$D$10&lt;5</formula>
    </cfRule>
  </conditionalFormatting>
  <conditionalFormatting sqref="C150:F150">
    <cfRule type="expression" dxfId="332" priority="26">
      <formula>$D$10&lt;6</formula>
    </cfRule>
  </conditionalFormatting>
  <conditionalFormatting sqref="C53:L53">
    <cfRule type="expression" dxfId="331" priority="51">
      <formula>$D$53="kg"</formula>
    </cfRule>
    <cfRule type="expression" dxfId="330" priority="44">
      <formula>$D$5="Maaien"</formula>
    </cfRule>
  </conditionalFormatting>
  <conditionalFormatting sqref="C53:L58 N53:Q58">
    <cfRule type="expression" dxfId="329" priority="45">
      <formula>$D$5="Maaien"</formula>
    </cfRule>
  </conditionalFormatting>
  <conditionalFormatting sqref="C54:L54">
    <cfRule type="expression" dxfId="328" priority="50">
      <formula>$D$54="kg"</formula>
    </cfRule>
  </conditionalFormatting>
  <conditionalFormatting sqref="C55:L55">
    <cfRule type="expression" dxfId="327" priority="49">
      <formula>$D$55="kg"</formula>
    </cfRule>
  </conditionalFormatting>
  <conditionalFormatting sqref="C56:L56">
    <cfRule type="expression" dxfId="326" priority="48">
      <formula>$D$56="kg"</formula>
    </cfRule>
  </conditionalFormatting>
  <conditionalFormatting sqref="C57:M57">
    <cfRule type="expression" dxfId="325" priority="47">
      <formula>$D$57="kg"</formula>
    </cfRule>
  </conditionalFormatting>
  <conditionalFormatting sqref="C58:M58">
    <cfRule type="expression" dxfId="324" priority="46">
      <formula>$D$58="kg"</formula>
    </cfRule>
  </conditionalFormatting>
  <conditionalFormatting sqref="D151:F151">
    <cfRule type="expression" dxfId="323" priority="9">
      <formula>$D$10&gt;0</formula>
    </cfRule>
  </conditionalFormatting>
  <conditionalFormatting sqref="D36:J36">
    <cfRule type="expression" dxfId="322" priority="52">
      <formula>$B$36=""</formula>
    </cfRule>
    <cfRule type="expression" dxfId="321" priority="61">
      <formula>$B$36="Per snede"</formula>
    </cfRule>
  </conditionalFormatting>
  <conditionalFormatting sqref="D37:J37">
    <cfRule type="expression" dxfId="320" priority="53">
      <formula>$B$37=""</formula>
    </cfRule>
    <cfRule type="expression" dxfId="319" priority="60">
      <formula>$B$37="Per snede"</formula>
    </cfRule>
  </conditionalFormatting>
  <conditionalFormatting sqref="D38:J38">
    <cfRule type="expression" dxfId="318" priority="59">
      <formula>$B$38="Per snede"</formula>
    </cfRule>
    <cfRule type="expression" dxfId="317" priority="54">
      <formula>$B$38=""</formula>
    </cfRule>
  </conditionalFormatting>
  <conditionalFormatting sqref="D39:J39">
    <cfRule type="expression" dxfId="316" priority="55">
      <formula>$B$39=""</formula>
    </cfRule>
    <cfRule type="expression" dxfId="315" priority="58">
      <formula>$B$39="Per snede"</formula>
    </cfRule>
  </conditionalFormatting>
  <conditionalFormatting sqref="D40:J40">
    <cfRule type="expression" dxfId="314" priority="57">
      <formula>$B$40="Per snede"</formula>
    </cfRule>
    <cfRule type="expression" dxfId="313" priority="56">
      <formula>$B$40=""</formula>
    </cfRule>
  </conditionalFormatting>
  <conditionalFormatting sqref="E120:E122">
    <cfRule type="cellIs" dxfId="312" priority="28" operator="equal">
      <formula>FALSE</formula>
    </cfRule>
  </conditionalFormatting>
  <conditionalFormatting sqref="E45:L52">
    <cfRule type="cellIs" dxfId="311" priority="87" operator="equal">
      <formula>0</formula>
    </cfRule>
  </conditionalFormatting>
  <conditionalFormatting sqref="F111">
    <cfRule type="cellIs" dxfId="310" priority="33" operator="between">
      <formula>170</formula>
      <formula>255</formula>
    </cfRule>
    <cfRule type="cellIs" dxfId="309" priority="32" operator="greaterThan">
      <formula>255</formula>
    </cfRule>
  </conditionalFormatting>
  <conditionalFormatting sqref="F63:M68 F71:M76 F79:M84 F87:M92 F95:M100 F103:M108">
    <cfRule type="cellIs" dxfId="308" priority="85" operator="equal">
      <formula>0</formula>
    </cfRule>
  </conditionalFormatting>
  <conditionalFormatting sqref="F111:M111 O111">
    <cfRule type="cellIs" dxfId="307" priority="86" operator="equal">
      <formula>0</formula>
    </cfRule>
  </conditionalFormatting>
  <conditionalFormatting sqref="G102">
    <cfRule type="cellIs" dxfId="306" priority="29" operator="equal">
      <formula>0</formula>
    </cfRule>
  </conditionalFormatting>
  <conditionalFormatting sqref="G111">
    <cfRule type="expression" dxfId="305" priority="7">
      <formula>$G$111&gt;$D$16*1.25</formula>
    </cfRule>
    <cfRule type="expression" dxfId="304" priority="31">
      <formula>$G$111&gt;$D$16</formula>
    </cfRule>
  </conditionalFormatting>
  <conditionalFormatting sqref="G2:M9">
    <cfRule type="expression" dxfId="303" priority="30">
      <formula>$D$5=""</formula>
    </cfRule>
  </conditionalFormatting>
  <conditionalFormatting sqref="G2:S9">
    <cfRule type="expression" dxfId="302" priority="69">
      <formula>$D$5="Maaien"</formula>
    </cfRule>
  </conditionalFormatting>
  <conditionalFormatting sqref="G3:S3">
    <cfRule type="expression" dxfId="301" priority="68">
      <formula>$D$5="Maaien + grazen"</formula>
    </cfRule>
  </conditionalFormatting>
  <conditionalFormatting sqref="G4:S4">
    <cfRule type="expression" dxfId="300" priority="67">
      <formula>$G$4=1</formula>
    </cfRule>
  </conditionalFormatting>
  <conditionalFormatting sqref="G4:S9">
    <cfRule type="expression" dxfId="299" priority="43">
      <formula>$D$5="Maaien"</formula>
    </cfRule>
  </conditionalFormatting>
  <conditionalFormatting sqref="G5:S5">
    <cfRule type="expression" dxfId="298" priority="66">
      <formula>$G$5=2</formula>
    </cfRule>
  </conditionalFormatting>
  <conditionalFormatting sqref="G6:S6">
    <cfRule type="expression" dxfId="297" priority="65">
      <formula>$G$6=3</formula>
    </cfRule>
  </conditionalFormatting>
  <conditionalFormatting sqref="G7:S7">
    <cfRule type="expression" dxfId="296" priority="64">
      <formula>$G$7=4</formula>
    </cfRule>
  </conditionalFormatting>
  <conditionalFormatting sqref="G8:S8">
    <cfRule type="expression" dxfId="295" priority="63">
      <formula>$G$8=5</formula>
    </cfRule>
  </conditionalFormatting>
  <conditionalFormatting sqref="G9:S9">
    <cfRule type="expression" dxfId="294" priority="62">
      <formula>$G$9=6</formula>
    </cfRule>
  </conditionalFormatting>
  <conditionalFormatting sqref="H4 J4:M4">
    <cfRule type="expression" dxfId="293" priority="78">
      <formula>$G$4=1</formula>
    </cfRule>
  </conditionalFormatting>
  <conditionalFormatting sqref="H5 J5:M5">
    <cfRule type="expression" dxfId="292" priority="83">
      <formula>$G$5=2</formula>
    </cfRule>
  </conditionalFormatting>
  <conditionalFormatting sqref="H6 J6:M6">
    <cfRule type="expression" dxfId="291" priority="82">
      <formula>$G$6=3</formula>
    </cfRule>
  </conditionalFormatting>
  <conditionalFormatting sqref="H7 J7:M7">
    <cfRule type="expression" dxfId="290" priority="81">
      <formula>$G$7=4</formula>
    </cfRule>
  </conditionalFormatting>
  <conditionalFormatting sqref="H8 J8:M8">
    <cfRule type="expression" dxfId="289" priority="80">
      <formula>$G$8=5</formula>
    </cfRule>
  </conditionalFormatting>
  <conditionalFormatting sqref="H9 J9:M9">
    <cfRule type="expression" dxfId="288" priority="79">
      <formula>$G$9=6</formula>
    </cfRule>
  </conditionalFormatting>
  <conditionalFormatting sqref="H111">
    <cfRule type="expression" dxfId="287" priority="8">
      <formula>$H$111&gt;$E$16</formula>
    </cfRule>
  </conditionalFormatting>
  <conditionalFormatting sqref="H4:S4">
    <cfRule type="expression" dxfId="286" priority="75">
      <formula>$G$4=""</formula>
    </cfRule>
  </conditionalFormatting>
  <conditionalFormatting sqref="H5:S5">
    <cfRule type="expression" dxfId="285" priority="70">
      <formula>$G$5=""</formula>
    </cfRule>
  </conditionalFormatting>
  <conditionalFormatting sqref="H6:S6">
    <cfRule type="expression" dxfId="284" priority="71">
      <formula>$G$6=""</formula>
    </cfRule>
  </conditionalFormatting>
  <conditionalFormatting sqref="H7:S7">
    <cfRule type="expression" dxfId="283" priority="72">
      <formula>$G$7=""</formula>
    </cfRule>
  </conditionalFormatting>
  <conditionalFormatting sqref="H8:S8">
    <cfRule type="expression" dxfId="282" priority="73">
      <formula>$G$8=""</formula>
    </cfRule>
  </conditionalFormatting>
  <conditionalFormatting sqref="H9:S9">
    <cfRule type="expression" dxfId="281" priority="74">
      <formula>$G$9=""</formula>
    </cfRule>
  </conditionalFormatting>
  <conditionalFormatting sqref="I4">
    <cfRule type="expression" dxfId="280" priority="1">
      <formula>$H$4="Melkkoeien"</formula>
    </cfRule>
  </conditionalFormatting>
  <conditionalFormatting sqref="I5">
    <cfRule type="expression" dxfId="279" priority="2">
      <formula>$H$5="Melkkoeien"</formula>
    </cfRule>
  </conditionalFormatting>
  <conditionalFormatting sqref="I6">
    <cfRule type="expression" dxfId="278" priority="3">
      <formula>$H$6="Melkkoeien"</formula>
    </cfRule>
  </conditionalFormatting>
  <conditionalFormatting sqref="I7">
    <cfRule type="expression" dxfId="277" priority="4">
      <formula>$H$7="Melkkoeien"</formula>
    </cfRule>
  </conditionalFormatting>
  <conditionalFormatting sqref="I8">
    <cfRule type="expression" dxfId="276" priority="5">
      <formula>$H$8="Melkkoeien"</formula>
    </cfRule>
  </conditionalFormatting>
  <conditionalFormatting sqref="I9">
    <cfRule type="expression" dxfId="275" priority="6">
      <formula>$H$9="Melkkoeien"</formula>
    </cfRule>
  </conditionalFormatting>
  <conditionalFormatting sqref="K5:L6">
    <cfRule type="expression" dxfId="274" priority="27">
      <formula>$G$4=""</formula>
    </cfRule>
  </conditionalFormatting>
  <conditionalFormatting sqref="M45:M55">
    <cfRule type="cellIs" dxfId="273" priority="42" operator="equal">
      <formula>0</formula>
    </cfRule>
  </conditionalFormatting>
  <conditionalFormatting sqref="M53">
    <cfRule type="expression" dxfId="272" priority="39">
      <formula>$C$53="Begrazingsnede 1"</formula>
    </cfRule>
  </conditionalFormatting>
  <conditionalFormatting sqref="M54">
    <cfRule type="expression" dxfId="271" priority="38">
      <formula>$C$54="Begrazingsnede 2"</formula>
    </cfRule>
  </conditionalFormatting>
  <conditionalFormatting sqref="M55">
    <cfRule type="expression" dxfId="270" priority="37">
      <formula>$C$55="Begrazingsnede 3"</formula>
    </cfRule>
  </conditionalFormatting>
  <conditionalFormatting sqref="M56">
    <cfRule type="expression" dxfId="269" priority="41">
      <formula>$D$56="kg"</formula>
    </cfRule>
    <cfRule type="expression" dxfId="268" priority="36">
      <formula>$C$56="Begrazingsnede 4"</formula>
    </cfRule>
  </conditionalFormatting>
  <conditionalFormatting sqref="M56:M58">
    <cfRule type="expression" dxfId="267" priority="40">
      <formula>$D$5="Maaien"</formula>
    </cfRule>
  </conditionalFormatting>
  <conditionalFormatting sqref="M57">
    <cfRule type="expression" dxfId="266" priority="35">
      <formula>$C$57="Begrazingsnede 5"</formula>
    </cfRule>
  </conditionalFormatting>
  <conditionalFormatting sqref="M58">
    <cfRule type="expression" dxfId="265" priority="34">
      <formula>$C$58="Begrazingsnede 6"</formula>
    </cfRule>
  </conditionalFormatting>
  <conditionalFormatting sqref="N45:Q52">
    <cfRule type="cellIs" dxfId="264" priority="76" operator="equal">
      <formula>0</formula>
    </cfRule>
  </conditionalFormatting>
  <dataValidations count="9">
    <dataValidation type="list" allowBlank="1" showInputMessage="1" showErrorMessage="1" sqref="C71:C76 C63:C68 C79:C84 C87:C92 C95:C100 C103:C108" xr:uid="{64B9E082-932B-498E-83BC-4B9D0E80C977}">
      <formula1>$C$45:$C$58</formula1>
    </dataValidation>
    <dataValidation type="list" allowBlank="1" showInputMessage="1" showErrorMessage="1" sqref="D7" xr:uid="{A0EC1AB2-2985-4ECA-8D03-6EA2C9853CA3}">
      <formula1>"Ja,Nee"</formula1>
    </dataValidation>
    <dataValidation type="list" allowBlank="1" showInputMessage="1" showErrorMessage="1" sqref="H4:H9" xr:uid="{EFA52D1D-D45D-4592-80F5-AC27D1207EBC}">
      <formula1>Diercategorie</formula1>
    </dataValidation>
    <dataValidation type="list" allowBlank="1" showInputMessage="1" showErrorMessage="1" sqref="I4" xr:uid="{CC91E53D-F4E0-40A6-8565-CD6710111703}">
      <formula1>INDIRECT($H$4)</formula1>
    </dataValidation>
    <dataValidation type="list" allowBlank="1" showInputMessage="1" showErrorMessage="1" sqref="I5" xr:uid="{F929DD18-615A-497A-B405-C9F9D664A2A0}">
      <formula1>INDIRECT($H$5)</formula1>
    </dataValidation>
    <dataValidation type="list" allowBlank="1" showInputMessage="1" showErrorMessage="1" sqref="I6" xr:uid="{EA8C83A5-E143-4377-9215-0C394DDE6BFD}">
      <formula1>INDIRECT($H$6)</formula1>
    </dataValidation>
    <dataValidation type="list" allowBlank="1" showInputMessage="1" showErrorMessage="1" sqref="I7" xr:uid="{6F25CE25-96CF-4BC1-BDC4-43BD74404793}">
      <formula1>INDIRECT($H$7)</formula1>
    </dataValidation>
    <dataValidation type="list" allowBlank="1" showInputMessage="1" showErrorMessage="1" sqref="I8" xr:uid="{08E4330C-50CB-4168-82AD-277701A6DDAA}">
      <formula1>INDIRECT($H$8)</formula1>
    </dataValidation>
    <dataValidation type="list" allowBlank="1" showInputMessage="1" showErrorMessage="1" sqref="I9" xr:uid="{2A94C1AE-786D-45F8-981F-BE20DCD957B1}">
      <formula1>INDIRECT($H$9)</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30214988-2E32-41B2-A59D-5FDA85AD5058}">
          <x14:formula1>
            <xm:f>'Lijsten en tabellen'!$AP$3:$AP$4</xm:f>
          </x14:formula1>
          <xm:sqref>C20</xm:sqref>
        </x14:dataValidation>
        <x14:dataValidation type="list" allowBlank="1" showInputMessage="1" showErrorMessage="1" xr:uid="{40ADF574-8BA0-452F-91D7-55C311012AAA}">
          <x14:formula1>
            <xm:f>'Lijsten en tabellen'!$S$3:$V$3</xm:f>
          </x14:formula1>
          <xm:sqref>D8</xm:sqref>
        </x14:dataValidation>
        <x14:dataValidation type="list" allowBlank="1" showInputMessage="1" showErrorMessage="1" xr:uid="{810A68E4-BEFB-4540-89AA-593926BBB7CC}">
          <x14:formula1>
            <xm:f>'Lijsten en tabellen'!$D$4:$K$4</xm:f>
          </x14:formula1>
          <xm:sqref>D3</xm:sqref>
        </x14:dataValidation>
        <x14:dataValidation type="list" allowBlank="1" showInputMessage="1" showErrorMessage="1" xr:uid="{2407E6A9-62D9-45C7-9DEC-FB87AF512539}">
          <x14:formula1>
            <xm:f>'Lijsten en tabellen'!$D$3:$K$3</xm:f>
          </x14:formula1>
          <xm:sqref>D6</xm:sqref>
        </x14:dataValidation>
        <x14:dataValidation type="list" allowBlank="1" showInputMessage="1" showErrorMessage="1" xr:uid="{5E11500A-29C3-4AD4-9D00-6606C4277953}">
          <x14:formula1>
            <xm:f>'Lijsten en tabellen'!$B$6:$B$7</xm:f>
          </x14:formula1>
          <xm:sqref>D5</xm:sqref>
        </x14:dataValidation>
        <x14:dataValidation type="list" allowBlank="1" showInputMessage="1" showErrorMessage="1" xr:uid="{0DA3B0B5-8668-471C-B306-8C21F1F7A58B}">
          <x14:formula1>
            <xm:f>'Lijsten en tabellen'!$X$3:$X$23</xm:f>
          </x14:formula1>
          <xm:sqref>D4</xm:sqref>
        </x14:dataValidation>
        <x14:dataValidation type="list" allowBlank="1" showInputMessage="1" showErrorMessage="1" xr:uid="{0BF76515-BC2A-403C-AC9A-CB587422F913}">
          <x14:formula1>
            <xm:f>'Lijsten en tabellen'!$AO$3:$AO$8</xm:f>
          </x14:formula1>
          <xm:sqref>D10</xm:sqref>
        </x14:dataValidation>
        <x14:dataValidation type="list" allowBlank="1" showInputMessage="1" showErrorMessage="1" xr:uid="{FC5AF407-AD11-4316-8C3D-E73ECED51261}">
          <x14:formula1>
            <xm:f>'Lijsten en tabellen'!$AQ$3:$AQ$9</xm:f>
          </x14:formula1>
          <xm:sqref>D11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471B1-A26A-4596-993B-8259914BEBED}">
  <dimension ref="A1:AL152"/>
  <sheetViews>
    <sheetView zoomScale="60" zoomScaleNormal="60" workbookViewId="0">
      <selection activeCell="D2" sqref="D2"/>
    </sheetView>
  </sheetViews>
  <sheetFormatPr defaultRowHeight="14.4" x14ac:dyDescent="0.3"/>
  <cols>
    <col min="1" max="1" width="17.5546875" customWidth="1"/>
    <col min="2" max="2" width="11.5546875" hidden="1" customWidth="1"/>
    <col min="3" max="3" width="27.33203125" customWidth="1"/>
    <col min="4" max="5" width="26.5546875" customWidth="1"/>
    <col min="6" max="6" width="19.44140625" customWidth="1"/>
    <col min="7" max="7" width="22.33203125" customWidth="1"/>
    <col min="8" max="8" width="23.21875" customWidth="1"/>
    <col min="9" max="9" width="23.33203125" customWidth="1"/>
    <col min="10" max="10" width="21.21875" customWidth="1"/>
    <col min="11" max="12" width="19.6640625" customWidth="1"/>
    <col min="13" max="13" width="20" customWidth="1"/>
    <col min="14" max="14" width="18.33203125" hidden="1" customWidth="1"/>
    <col min="15" max="15" width="19.33203125" hidden="1" customWidth="1"/>
    <col min="16" max="16" width="14" hidden="1" customWidth="1"/>
    <col min="17" max="17" width="13.109375" hidden="1" customWidth="1"/>
    <col min="18" max="19" width="14" hidden="1" customWidth="1"/>
    <col min="20" max="20" width="18.6640625" customWidth="1"/>
    <col min="21" max="21" width="27.21875" customWidth="1"/>
    <col min="22" max="22" width="35.44140625" customWidth="1"/>
    <col min="23" max="23" width="31.5546875" customWidth="1"/>
    <col min="24" max="24" width="31.33203125" customWidth="1"/>
    <col min="25" max="25" width="45.44140625" customWidth="1"/>
    <col min="26" max="26" width="20.6640625" customWidth="1"/>
    <col min="28" max="28" width="8.88671875" customWidth="1"/>
  </cols>
  <sheetData>
    <row r="1" spans="2:19" ht="18.600000000000001" thickBot="1" x14ac:dyDescent="0.4">
      <c r="C1" s="29" t="s">
        <v>441</v>
      </c>
      <c r="L1" s="42"/>
    </row>
    <row r="2" spans="2:19" ht="18" x14ac:dyDescent="0.35">
      <c r="C2" s="100" t="s">
        <v>440</v>
      </c>
      <c r="D2" s="185"/>
      <c r="E2" s="147"/>
      <c r="G2" s="29" t="s">
        <v>548</v>
      </c>
      <c r="N2" s="213" t="s">
        <v>593</v>
      </c>
      <c r="O2" s="213"/>
      <c r="P2" s="213" t="s">
        <v>553</v>
      </c>
      <c r="Q2" s="213"/>
      <c r="R2" s="213"/>
      <c r="S2" s="124"/>
    </row>
    <row r="3" spans="2:19" x14ac:dyDescent="0.3">
      <c r="C3" s="101" t="s">
        <v>406</v>
      </c>
      <c r="D3" s="186"/>
      <c r="E3" s="147"/>
      <c r="G3" s="84" t="s">
        <v>549</v>
      </c>
      <c r="H3" s="84" t="s">
        <v>555</v>
      </c>
      <c r="I3" s="84" t="s">
        <v>557</v>
      </c>
      <c r="J3" s="84" t="s">
        <v>550</v>
      </c>
      <c r="K3" s="84" t="s">
        <v>551</v>
      </c>
      <c r="L3" s="84" t="s">
        <v>552</v>
      </c>
      <c r="M3" s="84" t="s">
        <v>596</v>
      </c>
      <c r="N3" s="84" t="s">
        <v>471</v>
      </c>
      <c r="O3" s="84" t="s">
        <v>511</v>
      </c>
      <c r="P3" s="84" t="s">
        <v>471</v>
      </c>
      <c r="Q3" s="84" t="s">
        <v>472</v>
      </c>
      <c r="R3" s="84" t="s">
        <v>511</v>
      </c>
      <c r="S3" s="84"/>
    </row>
    <row r="4" spans="2:19" x14ac:dyDescent="0.3">
      <c r="B4" s="32" t="str">
        <f>IF(D4="Graskruiden mengsel","Ja","Nee")</f>
        <v>Nee</v>
      </c>
      <c r="C4" s="101" t="s">
        <v>403</v>
      </c>
      <c r="D4" s="186"/>
      <c r="E4" s="148" t="e">
        <f>VLOOKUP(D4,'Lijsten en tabellen'!X2:Z23,3,FALSE)</f>
        <v>#N/A</v>
      </c>
      <c r="F4" s="32"/>
      <c r="G4" t="str">
        <f>IFERROR(IF($D$11&gt;0,1,""),"")</f>
        <v/>
      </c>
      <c r="H4" s="189"/>
      <c r="I4" s="189"/>
      <c r="J4" s="189"/>
      <c r="K4" s="190"/>
      <c r="L4" s="190"/>
      <c r="M4" s="189"/>
      <c r="N4" t="str">
        <f>IFERROR(IF( H4="Melkkoeien", VLOOKUP(_xlfn.CONCAT(H4,I4),'Lijsten en tabellen'!$AK$3:$AM$35,3,FALSE),VLOOKUP(H4,'Lijsten en tabellen'!$AK$2:$AM$35,3,FALSE)),"")</f>
        <v/>
      </c>
      <c r="O4" t="str">
        <f>IFERROR(IF( H4="Melkkoeien", VLOOKUP(_xlfn.CONCAT(H4,I4),'Lijsten en tabellen'!$AK$3:$AM$35,2,FALSE),VLOOKUP(H4,'Lijsten en tabellen'!$AK$2:$AM$35,2,FALSE)),"")</f>
        <v/>
      </c>
      <c r="P4" s="78" t="str">
        <f t="shared" ref="P4:P9" si="0">IFERROR(J4*(L4-K4)*(M4/24)*(N4/365),"")</f>
        <v/>
      </c>
      <c r="Q4" s="78" t="str">
        <f>IFERROR(P4*0.2,"")</f>
        <v/>
      </c>
      <c r="R4" s="78" t="str">
        <f t="shared" ref="R4:R9" si="1">IFERROR(J4*(L4-K4)*(M4/24)*(O4/365),"")</f>
        <v/>
      </c>
      <c r="S4" s="78"/>
    </row>
    <row r="5" spans="2:19" x14ac:dyDescent="0.3">
      <c r="C5" s="101" t="s">
        <v>404</v>
      </c>
      <c r="D5" s="186"/>
      <c r="E5" s="148" t="e">
        <f>VLOOKUP(D4,'Lijsten en tabellen'!X2:AA23,4,FALSE)</f>
        <v>#N/A</v>
      </c>
      <c r="G5" t="str">
        <f>IFERROR(IF($D$11&gt;1,2,""),"")</f>
        <v/>
      </c>
      <c r="H5" s="189"/>
      <c r="I5" s="189"/>
      <c r="J5" s="189"/>
      <c r="K5" s="190"/>
      <c r="L5" s="190"/>
      <c r="M5" s="189"/>
      <c r="N5" t="str">
        <f>IFERROR(IF( H5="Melkkoeien", VLOOKUP(_xlfn.CONCAT(H5,I5),'Lijsten en tabellen'!$AK$3:$AM$35,3,FALSE),VLOOKUP(H5,'Lijsten en tabellen'!$AK$2:$AM$35,3,FALSE)),"")</f>
        <v/>
      </c>
      <c r="O5" t="str">
        <f>IFERROR(IF( H5="Melkkoeien", VLOOKUP(_xlfn.CONCAT(H5,I5),'Lijsten en tabellen'!$AK$3:$AM$35,2,FALSE),VLOOKUP(H5,'Lijsten en tabellen'!$AK$2:$AM$35,2,FALSE)),"")</f>
        <v/>
      </c>
      <c r="P5" s="78" t="str">
        <f t="shared" si="0"/>
        <v/>
      </c>
      <c r="Q5" s="78" t="str">
        <f t="shared" ref="Q5:Q9" si="2">IFERROR(P5*0.2,"")</f>
        <v/>
      </c>
      <c r="R5" s="78" t="str">
        <f t="shared" si="1"/>
        <v/>
      </c>
      <c r="S5" s="78"/>
    </row>
    <row r="6" spans="2:19" x14ac:dyDescent="0.3">
      <c r="C6" s="101" t="s">
        <v>405</v>
      </c>
      <c r="D6" s="187"/>
      <c r="E6" s="148" t="e">
        <f>_xlfn.CONCAT(D6,D3,D5,E4)</f>
        <v>#N/A</v>
      </c>
      <c r="G6" t="str">
        <f>IFERROR(IF($D$11&gt;2,3,""),"")</f>
        <v/>
      </c>
      <c r="H6" s="189"/>
      <c r="I6" s="189"/>
      <c r="J6" s="189"/>
      <c r="K6" s="189"/>
      <c r="L6" s="189"/>
      <c r="M6" s="189"/>
      <c r="N6" t="str">
        <f>IFERROR(IF( H6="Melkkoeien", VLOOKUP(_xlfn.CONCAT(H6,I6),'Lijsten en tabellen'!$AK$3:$AM$35,3,FALSE),VLOOKUP(H6,'Lijsten en tabellen'!$AK$2:$AM$35,3,FALSE)),"")</f>
        <v/>
      </c>
      <c r="O6" t="str">
        <f>IFERROR(IF( H6="Melkkoeien", VLOOKUP(_xlfn.CONCAT(H6,I6),'Lijsten en tabellen'!$AK$3:$AM$35,2,FALSE),VLOOKUP(H6,'Lijsten en tabellen'!$AK$2:$AM$35,2,FALSE)),"")</f>
        <v/>
      </c>
      <c r="P6" s="78" t="str">
        <f t="shared" si="0"/>
        <v/>
      </c>
      <c r="Q6" s="78" t="str">
        <f t="shared" si="2"/>
        <v/>
      </c>
      <c r="R6" s="78" t="str">
        <f t="shared" si="1"/>
        <v/>
      </c>
      <c r="S6" s="78"/>
    </row>
    <row r="7" spans="2:19" ht="28.8" x14ac:dyDescent="0.3">
      <c r="C7" s="102" t="s">
        <v>635</v>
      </c>
      <c r="D7" s="187"/>
      <c r="E7" s="147"/>
      <c r="G7" t="str">
        <f>IFERROR(IF($D$11&gt;3,4,""),"")</f>
        <v/>
      </c>
      <c r="H7" s="189"/>
      <c r="I7" s="189"/>
      <c r="J7" s="189"/>
      <c r="K7" s="190"/>
      <c r="L7" s="190"/>
      <c r="M7" s="189"/>
      <c r="N7" t="str">
        <f>IFERROR(IF( H7="Melkkoeien", VLOOKUP(_xlfn.CONCAT(H7,I7),'Lijsten en tabellen'!$AK$3:$AM$35,3,FALSE),VLOOKUP(H7,'Lijsten en tabellen'!$AK$2:$AM$35,3,FALSE)),"")</f>
        <v/>
      </c>
      <c r="O7" t="str">
        <f>IFERROR(IF( H7="Melkkoeien", VLOOKUP(_xlfn.CONCAT(H7,I7),'Lijsten en tabellen'!$AK$3:$AM$35,2,FALSE),VLOOKUP(H7,'Lijsten en tabellen'!$AK$2:$AM$35,2,FALSE)),"")</f>
        <v/>
      </c>
      <c r="P7" s="78" t="str">
        <f t="shared" si="0"/>
        <v/>
      </c>
      <c r="Q7" s="78" t="str">
        <f t="shared" si="2"/>
        <v/>
      </c>
      <c r="R7" s="78" t="str">
        <f t="shared" si="1"/>
        <v/>
      </c>
      <c r="S7" s="78"/>
    </row>
    <row r="8" spans="2:19" x14ac:dyDescent="0.3">
      <c r="C8" s="101" t="s">
        <v>408</v>
      </c>
      <c r="D8" s="186"/>
      <c r="E8" s="147"/>
      <c r="G8" t="str">
        <f>IFERROR(IF($D$11&gt;4,5,""),"")</f>
        <v/>
      </c>
      <c r="H8" s="189"/>
      <c r="I8" s="189"/>
      <c r="J8" s="189"/>
      <c r="K8" s="190"/>
      <c r="L8" s="190"/>
      <c r="M8" s="189"/>
      <c r="N8" t="str">
        <f>IFERROR(IF( H8="Melkkoeien", VLOOKUP(_xlfn.CONCAT(H8,I8),'Lijsten en tabellen'!$AK$3:$AM$35,3,FALSE),VLOOKUP(H8,'Lijsten en tabellen'!$AK$2:$AM$35,3,FALSE)),"")</f>
        <v/>
      </c>
      <c r="O8" t="str">
        <f>IFERROR(IF( H8="Melkkoeien", VLOOKUP(_xlfn.CONCAT(H8,I8),'Lijsten en tabellen'!$AK$3:$AM$35,2,FALSE),VLOOKUP(H8,'Lijsten en tabellen'!$AK$2:$AM$35,2,FALSE)),"")</f>
        <v/>
      </c>
      <c r="P8" s="78" t="str">
        <f t="shared" si="0"/>
        <v/>
      </c>
      <c r="Q8" s="78" t="str">
        <f t="shared" si="2"/>
        <v/>
      </c>
      <c r="R8" s="78" t="str">
        <f t="shared" si="1"/>
        <v/>
      </c>
      <c r="S8" s="78"/>
    </row>
    <row r="9" spans="2:19" x14ac:dyDescent="0.3">
      <c r="C9" s="101" t="s">
        <v>439</v>
      </c>
      <c r="D9" s="186"/>
      <c r="E9" s="147"/>
      <c r="G9" t="str">
        <f>IFERROR(IF($D$11&gt;5,6,""),"")</f>
        <v/>
      </c>
      <c r="H9" s="189"/>
      <c r="I9" s="189"/>
      <c r="J9" s="189"/>
      <c r="K9" s="190"/>
      <c r="L9" s="190"/>
      <c r="M9" s="189"/>
      <c r="N9" t="str">
        <f>IFERROR(IF( H9="Melkkoeien", VLOOKUP(_xlfn.CONCAT(H9,I9),'Lijsten en tabellen'!$AK$3:$AM$35,3,FALSE),VLOOKUP(H9,'Lijsten en tabellen'!$AK$2:$AM$35,3,FALSE)),"")</f>
        <v/>
      </c>
      <c r="O9" t="str">
        <f>IFERROR(IF( H9="Melkkoeien", VLOOKUP(_xlfn.CONCAT(H9,I9),'Lijsten en tabellen'!$AK$3:$AM$35,2,FALSE),VLOOKUP(H9,'Lijsten en tabellen'!$AK$2:$AM$35,2,FALSE)),"")</f>
        <v/>
      </c>
      <c r="P9" s="78" t="str">
        <f t="shared" si="0"/>
        <v/>
      </c>
      <c r="Q9" s="78" t="str">
        <f t="shared" si="2"/>
        <v/>
      </c>
      <c r="R9" s="78" t="str">
        <f t="shared" si="1"/>
        <v/>
      </c>
      <c r="S9" s="78"/>
    </row>
    <row r="10" spans="2:19" x14ac:dyDescent="0.3">
      <c r="C10" s="101" t="s">
        <v>595</v>
      </c>
      <c r="D10" s="186"/>
      <c r="E10" s="147"/>
      <c r="G10" s="42"/>
    </row>
    <row r="11" spans="2:19" ht="15" thickBot="1" x14ac:dyDescent="0.35">
      <c r="C11" s="103" t="s">
        <v>597</v>
      </c>
      <c r="D11" s="188"/>
      <c r="E11" s="147"/>
    </row>
    <row r="12" spans="2:19" hidden="1" x14ac:dyDescent="0.3">
      <c r="C12" s="148" t="e">
        <f>_xlfn.CONCAT(D6,D3,D5,E4)</f>
        <v>#N/A</v>
      </c>
      <c r="D12" s="32" t="str">
        <f>_xlfn.CONCAT(D7,D3,D5)</f>
        <v/>
      </c>
    </row>
    <row r="13" spans="2:19" x14ac:dyDescent="0.3">
      <c r="C13" s="148"/>
      <c r="D13" s="32"/>
    </row>
    <row r="14" spans="2:19" ht="18.600000000000001" thickBot="1" x14ac:dyDescent="0.4">
      <c r="C14" s="29" t="s">
        <v>402</v>
      </c>
      <c r="D14" s="30"/>
      <c r="E14" s="98"/>
      <c r="K14" s="32"/>
      <c r="L14" s="32"/>
    </row>
    <row r="15" spans="2:19" ht="19.8" thickBot="1" x14ac:dyDescent="0.5">
      <c r="C15" s="117" t="s">
        <v>399</v>
      </c>
      <c r="D15" s="118" t="s">
        <v>400</v>
      </c>
      <c r="E15" s="119" t="s">
        <v>401</v>
      </c>
      <c r="K15" s="32"/>
      <c r="L15" s="32"/>
    </row>
    <row r="16" spans="2:19" ht="15.6" x14ac:dyDescent="0.3">
      <c r="C16" s="207">
        <v>170</v>
      </c>
      <c r="D16" s="207" t="str">
        <f>IFERROR(IF(D7="Ja",VLOOKUP(D12,'Lijsten en tabellen'!E11:F14,2,FALSE),VLOOKUP(C12,'Lijsten en tabellen'!B10:C42,2,FALSE)),"")</f>
        <v/>
      </c>
      <c r="E16" s="207" t="str">
        <f>IF(D8="I",'Lijsten en tabellen'!S4,IF(D8="II",'Lijsten en tabellen'!T4,IF(D8="III",'Lijsten en tabellen'!U4,IF(D8="IV",'Lijsten en tabellen'!V4,""))))</f>
        <v/>
      </c>
      <c r="K16" s="32"/>
      <c r="L16" s="32"/>
    </row>
    <row r="17" spans="2:20" ht="15.6" x14ac:dyDescent="0.3">
      <c r="C17" s="98" t="s">
        <v>538</v>
      </c>
      <c r="D17" s="208"/>
      <c r="E17" s="208"/>
      <c r="K17" s="32"/>
      <c r="L17" s="32"/>
    </row>
    <row r="18" spans="2:20" x14ac:dyDescent="0.3">
      <c r="C18" s="148" t="e">
        <f>_xlfn.CONCAT(D3,D5,E5,B4)</f>
        <v>#N/A</v>
      </c>
      <c r="K18" s="32"/>
    </row>
    <row r="19" spans="2:20" ht="18" x14ac:dyDescent="0.35">
      <c r="C19" s="29" t="s">
        <v>413</v>
      </c>
      <c r="E19" s="31"/>
      <c r="F19" s="31"/>
      <c r="G19" s="31"/>
      <c r="H19" s="31"/>
      <c r="I19" s="31"/>
      <c r="K19" s="32"/>
    </row>
    <row r="20" spans="2:20" ht="18" x14ac:dyDescent="0.35">
      <c r="C20" s="192" t="s">
        <v>516</v>
      </c>
      <c r="E20" s="31"/>
      <c r="F20" s="31"/>
      <c r="G20" s="31"/>
      <c r="H20" s="31"/>
      <c r="I20" s="31"/>
      <c r="K20" s="32"/>
      <c r="T20" s="29"/>
    </row>
    <row r="21" spans="2:20" ht="19.2" x14ac:dyDescent="0.3">
      <c r="D21" s="41" t="s">
        <v>400</v>
      </c>
      <c r="E21" s="41" t="s">
        <v>414</v>
      </c>
      <c r="F21" s="41" t="s">
        <v>415</v>
      </c>
      <c r="G21" s="41" t="s">
        <v>416</v>
      </c>
      <c r="H21" s="41" t="s">
        <v>417</v>
      </c>
      <c r="I21" s="41" t="s">
        <v>418</v>
      </c>
      <c r="J21" s="41" t="s">
        <v>419</v>
      </c>
      <c r="K21" s="32"/>
    </row>
    <row r="22" spans="2:20" ht="15.6" hidden="1" x14ac:dyDescent="0.3">
      <c r="B22" t="s">
        <v>516</v>
      </c>
      <c r="C22" s="41" t="s">
        <v>450</v>
      </c>
      <c r="D22" s="209" t="e">
        <f>VLOOKUP(C18,'Algemene adviezen'!G3:N14,2,FALSE)</f>
        <v>#N/A</v>
      </c>
      <c r="E22" s="209" t="e">
        <f>VLOOKUP(C18,'Algemene adviezen'!G3:N14,3,FALSE)</f>
        <v>#N/A</v>
      </c>
      <c r="F22" s="209" t="e">
        <f>VLOOKUP(C18,'Algemene adviezen'!G3:N14,4,FALSE)</f>
        <v>#N/A</v>
      </c>
      <c r="G22" s="209" t="e">
        <f>VLOOKUP(C18,'Algemene adviezen'!G3:N14,5,FALSE)</f>
        <v>#N/A</v>
      </c>
      <c r="H22" s="209" t="e">
        <f>VLOOKUP(C18,'Algemene adviezen'!G3:N14,6,FALSE)</f>
        <v>#N/A</v>
      </c>
      <c r="I22" s="209" t="e">
        <f>VLOOKUP(C18,'Algemene adviezen'!G3:N14,7,FALSE)</f>
        <v>#N/A</v>
      </c>
      <c r="J22" s="209" t="e">
        <f>VLOOKUP(C18,'Algemene adviezen'!G3:N14,8,FALSE)</f>
        <v>#N/A</v>
      </c>
    </row>
    <row r="23" spans="2:20" ht="15.6" hidden="1" x14ac:dyDescent="0.3">
      <c r="B23" t="s">
        <v>517</v>
      </c>
      <c r="C23" s="41" t="s">
        <v>522</v>
      </c>
      <c r="D23" s="209" t="e">
        <f>D22</f>
        <v>#N/A</v>
      </c>
      <c r="E23" s="209" t="e">
        <f t="shared" ref="E23:J23" si="3">E22</f>
        <v>#N/A</v>
      </c>
      <c r="F23" s="209" t="e">
        <f t="shared" si="3"/>
        <v>#N/A</v>
      </c>
      <c r="G23" s="209" t="e">
        <f t="shared" si="3"/>
        <v>#N/A</v>
      </c>
      <c r="H23" s="209" t="e">
        <f t="shared" si="3"/>
        <v>#N/A</v>
      </c>
      <c r="I23" s="209" t="e">
        <f t="shared" si="3"/>
        <v>#N/A</v>
      </c>
      <c r="J23" s="209" t="e">
        <f t="shared" si="3"/>
        <v>#N/A</v>
      </c>
    </row>
    <row r="24" spans="2:20" ht="15.6" hidden="1" x14ac:dyDescent="0.3">
      <c r="B24" t="s">
        <v>516</v>
      </c>
      <c r="C24" s="41" t="s">
        <v>449</v>
      </c>
      <c r="D24" s="210"/>
      <c r="E24" s="210"/>
      <c r="F24" s="210"/>
      <c r="G24" s="210"/>
      <c r="H24" s="210"/>
      <c r="I24" s="210"/>
      <c r="J24" s="210"/>
    </row>
    <row r="25" spans="2:20" ht="15.6" hidden="1" x14ac:dyDescent="0.3">
      <c r="B25" t="str">
        <f>IFERROR(IF($D$10&gt;0,"Per snede",""),"Per snede")</f>
        <v/>
      </c>
      <c r="C25" s="41" t="s">
        <v>465</v>
      </c>
      <c r="D25" s="210" t="str">
        <f>IF($B$35="Per snede",D35,"")</f>
        <v/>
      </c>
      <c r="E25" s="210" t="str">
        <f t="shared" ref="E25:J25" si="4">IF($B$35="Per snede",E35,"")</f>
        <v/>
      </c>
      <c r="F25" s="210" t="str">
        <f t="shared" si="4"/>
        <v/>
      </c>
      <c r="G25" s="210" t="str">
        <f t="shared" si="4"/>
        <v/>
      </c>
      <c r="H25" s="210" t="str">
        <f t="shared" si="4"/>
        <v/>
      </c>
      <c r="I25" s="210" t="str">
        <f t="shared" si="4"/>
        <v/>
      </c>
      <c r="J25" s="210" t="str">
        <f t="shared" si="4"/>
        <v/>
      </c>
    </row>
    <row r="26" spans="2:20" ht="15.6" hidden="1" x14ac:dyDescent="0.3">
      <c r="B26" t="str">
        <f>IFERROR(IF($D$10&gt;1,"Per snede",""),"Per snede")</f>
        <v/>
      </c>
      <c r="C26" s="41" t="s">
        <v>499</v>
      </c>
      <c r="D26" s="210" t="str">
        <f>IF($B$36="Per snede",D36,"")</f>
        <v/>
      </c>
      <c r="E26" s="210" t="str">
        <f t="shared" ref="E26:J26" si="5">IF($B$36="Per snede",E36,"")</f>
        <v/>
      </c>
      <c r="F26" s="210" t="str">
        <f t="shared" si="5"/>
        <v/>
      </c>
      <c r="G26" s="210" t="str">
        <f t="shared" si="5"/>
        <v/>
      </c>
      <c r="H26" s="210" t="str">
        <f t="shared" si="5"/>
        <v/>
      </c>
      <c r="I26" s="210" t="str">
        <f t="shared" si="5"/>
        <v/>
      </c>
      <c r="J26" s="210" t="str">
        <f t="shared" si="5"/>
        <v/>
      </c>
    </row>
    <row r="27" spans="2:20" ht="15.6" hidden="1" x14ac:dyDescent="0.3">
      <c r="B27" t="str">
        <f>IFERROR(IF($D$10&gt;2,"Per snede",""),"Per snede")</f>
        <v/>
      </c>
      <c r="C27" s="41" t="s">
        <v>500</v>
      </c>
      <c r="D27" s="210" t="str">
        <f>IF($B$37="Per snede",D37,"")</f>
        <v/>
      </c>
      <c r="E27" s="210" t="str">
        <f t="shared" ref="E27:J27" si="6">IF($B$37="Per snede",E37,"")</f>
        <v/>
      </c>
      <c r="F27" s="210" t="str">
        <f t="shared" si="6"/>
        <v/>
      </c>
      <c r="G27" s="210" t="str">
        <f t="shared" si="6"/>
        <v/>
      </c>
      <c r="H27" s="210" t="str">
        <f t="shared" si="6"/>
        <v/>
      </c>
      <c r="I27" s="210" t="str">
        <f t="shared" si="6"/>
        <v/>
      </c>
      <c r="J27" s="210" t="str">
        <f t="shared" si="6"/>
        <v/>
      </c>
    </row>
    <row r="28" spans="2:20" ht="15.6" hidden="1" x14ac:dyDescent="0.3">
      <c r="B28" t="str">
        <f>IFERROR(IF($D$10&gt;3,"Per snede",""),"Per snede")</f>
        <v/>
      </c>
      <c r="C28" s="41" t="s">
        <v>501</v>
      </c>
      <c r="D28" s="210" t="str">
        <f>IF($B$38="Per snede",D38,"")</f>
        <v/>
      </c>
      <c r="E28" s="210" t="str">
        <f t="shared" ref="E28:J28" si="7">IF($B$38="Per snede",E38,"")</f>
        <v/>
      </c>
      <c r="F28" s="210" t="str">
        <f t="shared" si="7"/>
        <v/>
      </c>
      <c r="G28" s="210" t="str">
        <f t="shared" si="7"/>
        <v/>
      </c>
      <c r="H28" s="210" t="str">
        <f t="shared" si="7"/>
        <v/>
      </c>
      <c r="I28" s="210" t="str">
        <f t="shared" si="7"/>
        <v/>
      </c>
      <c r="J28" s="210" t="str">
        <f t="shared" si="7"/>
        <v/>
      </c>
    </row>
    <row r="29" spans="2:20" ht="15.6" hidden="1" x14ac:dyDescent="0.3">
      <c r="B29" t="str">
        <f>IFERROR(IF($D$10&gt;4,"Per snede",""),"Per snede")</f>
        <v/>
      </c>
      <c r="C29" s="41" t="s">
        <v>502</v>
      </c>
      <c r="D29" s="210" t="str">
        <f>IF($B$39="Per snede",D39,"")</f>
        <v/>
      </c>
      <c r="E29" s="210" t="str">
        <f t="shared" ref="E29:J29" si="8">IF($B$39="Per snede",E39,"")</f>
        <v/>
      </c>
      <c r="F29" s="210" t="str">
        <f t="shared" si="8"/>
        <v/>
      </c>
      <c r="G29" s="210" t="str">
        <f t="shared" si="8"/>
        <v/>
      </c>
      <c r="H29" s="210" t="str">
        <f t="shared" si="8"/>
        <v/>
      </c>
      <c r="I29" s="210" t="str">
        <f t="shared" si="8"/>
        <v/>
      </c>
      <c r="J29" s="210" t="str">
        <f t="shared" si="8"/>
        <v/>
      </c>
    </row>
    <row r="30" spans="2:20" ht="15.6" hidden="1" x14ac:dyDescent="0.3">
      <c r="B30" t="str">
        <f>IFERROR(IF($D$10&gt;5,"Per snede",""),"Per snede")</f>
        <v/>
      </c>
      <c r="C30" s="41" t="s">
        <v>503</v>
      </c>
      <c r="D30" s="210" t="str">
        <f>IF($B$40="Per snede",D40,"")</f>
        <v/>
      </c>
      <c r="E30" s="210" t="str">
        <f t="shared" ref="E30:J30" si="9">IF($B$40="Per snede",E40,"")</f>
        <v/>
      </c>
      <c r="F30" s="210" t="str">
        <f t="shared" si="9"/>
        <v/>
      </c>
      <c r="G30" s="210" t="str">
        <f t="shared" si="9"/>
        <v/>
      </c>
      <c r="H30" s="210" t="str">
        <f t="shared" si="9"/>
        <v/>
      </c>
      <c r="I30" s="210" t="str">
        <f t="shared" si="9"/>
        <v/>
      </c>
      <c r="J30" s="210" t="str">
        <f t="shared" si="9"/>
        <v/>
      </c>
    </row>
    <row r="31" spans="2:20" ht="15.6" hidden="1" x14ac:dyDescent="0.3">
      <c r="B31" t="s">
        <v>517</v>
      </c>
      <c r="C31" s="41" t="s">
        <v>530</v>
      </c>
      <c r="D31" s="209">
        <f>SUM(D25:D30)</f>
        <v>0</v>
      </c>
      <c r="E31" s="209">
        <f t="shared" ref="E31:J31" si="10">SUM(E25:E30)</f>
        <v>0</v>
      </c>
      <c r="F31" s="209">
        <f t="shared" si="10"/>
        <v>0</v>
      </c>
      <c r="G31" s="209">
        <f t="shared" si="10"/>
        <v>0</v>
      </c>
      <c r="H31" s="209">
        <f t="shared" si="10"/>
        <v>0</v>
      </c>
      <c r="I31" s="209">
        <f t="shared" si="10"/>
        <v>0</v>
      </c>
      <c r="J31" s="209">
        <f t="shared" si="10"/>
        <v>0</v>
      </c>
    </row>
    <row r="32" spans="2:20" hidden="1" x14ac:dyDescent="0.3"/>
    <row r="33" spans="2:26" ht="19.8" hidden="1" thickBot="1" x14ac:dyDescent="0.35">
      <c r="D33" s="121" t="s">
        <v>400</v>
      </c>
      <c r="E33" s="122" t="s">
        <v>414</v>
      </c>
      <c r="F33" s="122" t="s">
        <v>415</v>
      </c>
      <c r="G33" s="122" t="s">
        <v>416</v>
      </c>
      <c r="H33" s="122" t="s">
        <v>417</v>
      </c>
      <c r="I33" s="122" t="s">
        <v>418</v>
      </c>
      <c r="J33" s="123" t="s">
        <v>419</v>
      </c>
      <c r="L33" s="33"/>
      <c r="M33" s="33"/>
      <c r="N33" s="33"/>
      <c r="O33" s="33"/>
      <c r="P33" s="33"/>
      <c r="T33" s="33"/>
      <c r="U33" s="214" t="s">
        <v>605</v>
      </c>
      <c r="V33" s="215"/>
      <c r="W33" s="215"/>
      <c r="X33" s="216"/>
      <c r="Y33" s="216"/>
      <c r="Z33" s="217"/>
    </row>
    <row r="34" spans="2:26" ht="15.6" x14ac:dyDescent="0.3">
      <c r="B34" t="str" cm="1">
        <f t="array" ref="B34:C35">_xlfn._xlws.FILTER(B22:C30,B22:B30=C20)</f>
        <v>Per jaar</v>
      </c>
      <c r="C34" s="85" t="str">
        <v>Algemeen advies</v>
      </c>
      <c r="D34" s="120" t="str">
        <f t="shared" ref="D34:J34" si="11">IFERROR(D22,"")</f>
        <v/>
      </c>
      <c r="E34" s="120" t="str">
        <f t="shared" si="11"/>
        <v/>
      </c>
      <c r="F34" s="120" t="str">
        <f t="shared" si="11"/>
        <v/>
      </c>
      <c r="G34" s="120" t="str">
        <f t="shared" si="11"/>
        <v/>
      </c>
      <c r="H34" s="120" t="str">
        <f t="shared" si="11"/>
        <v/>
      </c>
      <c r="I34" s="120" t="str">
        <f t="shared" si="11"/>
        <v/>
      </c>
      <c r="J34" s="120" t="str">
        <f t="shared" si="11"/>
        <v/>
      </c>
      <c r="T34" s="33"/>
      <c r="U34" s="33"/>
      <c r="V34" s="33"/>
      <c r="W34" s="33"/>
    </row>
    <row r="35" spans="2:26" ht="15.6" x14ac:dyDescent="0.3">
      <c r="B35" t="str">
        <v>Per jaar</v>
      </c>
      <c r="C35" s="85" t="str">
        <v>Advies eigen analyse</v>
      </c>
      <c r="D35" s="87"/>
      <c r="E35" s="87"/>
      <c r="F35" s="87"/>
      <c r="G35" s="87"/>
      <c r="H35" s="87"/>
      <c r="I35" s="87"/>
      <c r="J35" s="87"/>
      <c r="M35" s="206"/>
      <c r="N35" s="206"/>
    </row>
    <row r="36" spans="2:26" ht="15.6" x14ac:dyDescent="0.3">
      <c r="C36" s="85"/>
      <c r="D36" s="191"/>
      <c r="E36" s="191"/>
      <c r="F36" s="191"/>
      <c r="G36" s="191"/>
      <c r="H36" s="191"/>
      <c r="I36" s="191"/>
      <c r="J36" s="191"/>
      <c r="M36" s="1"/>
      <c r="N36" s="1"/>
      <c r="U36" s="211"/>
      <c r="V36" s="211"/>
    </row>
    <row r="37" spans="2:26" ht="15.6" x14ac:dyDescent="0.3">
      <c r="C37" s="85"/>
      <c r="D37" s="191"/>
      <c r="E37" s="191"/>
      <c r="F37" s="191"/>
      <c r="G37" s="191"/>
      <c r="H37" s="191"/>
      <c r="I37" s="191"/>
      <c r="J37" s="191"/>
      <c r="M37" s="1"/>
      <c r="N37" s="1"/>
      <c r="U37" s="158"/>
      <c r="V37" s="158"/>
    </row>
    <row r="38" spans="2:26" ht="15.6" x14ac:dyDescent="0.3">
      <c r="C38" s="85"/>
      <c r="D38" s="191"/>
      <c r="E38" s="191"/>
      <c r="F38" s="191"/>
      <c r="G38" s="191"/>
      <c r="H38" s="191"/>
      <c r="I38" s="191"/>
      <c r="J38" s="191"/>
      <c r="M38" s="1"/>
      <c r="N38" s="1"/>
      <c r="U38" s="158"/>
      <c r="V38" s="158"/>
    </row>
    <row r="39" spans="2:26" ht="15.6" x14ac:dyDescent="0.3">
      <c r="C39" s="85"/>
      <c r="D39" s="191"/>
      <c r="E39" s="191"/>
      <c r="F39" s="191"/>
      <c r="G39" s="191"/>
      <c r="H39" s="191"/>
      <c r="I39" s="191"/>
      <c r="J39" s="191"/>
      <c r="U39" s="158"/>
      <c r="V39" s="158"/>
    </row>
    <row r="40" spans="2:26" ht="15.6" x14ac:dyDescent="0.3">
      <c r="C40" s="85"/>
      <c r="D40" s="191"/>
      <c r="E40" s="191"/>
      <c r="F40" s="191"/>
      <c r="G40" s="191"/>
      <c r="H40" s="191"/>
      <c r="I40" s="191"/>
      <c r="J40" s="191"/>
      <c r="U40" s="158"/>
      <c r="V40" s="158"/>
    </row>
    <row r="41" spans="2:26" ht="15.6" x14ac:dyDescent="0.3">
      <c r="C41" s="85"/>
      <c r="D41" s="1"/>
      <c r="E41" s="1"/>
      <c r="F41" s="1"/>
      <c r="G41" s="1"/>
      <c r="H41" s="1"/>
      <c r="I41" s="1"/>
      <c r="J41" s="1"/>
    </row>
    <row r="42" spans="2:26" ht="18" x14ac:dyDescent="0.35">
      <c r="C42" s="29" t="s">
        <v>628</v>
      </c>
    </row>
    <row r="43" spans="2:26" ht="18.600000000000001" thickBot="1" x14ac:dyDescent="0.4">
      <c r="C43" s="29"/>
      <c r="N43" s="218" t="s">
        <v>534</v>
      </c>
      <c r="O43" s="218"/>
      <c r="P43" s="218"/>
      <c r="Q43" s="218"/>
    </row>
    <row r="44" spans="2:26" ht="19.8" thickBot="1" x14ac:dyDescent="0.35">
      <c r="C44" s="47" t="s">
        <v>464</v>
      </c>
      <c r="D44" s="108" t="s">
        <v>466</v>
      </c>
      <c r="E44" s="48" t="s">
        <v>470</v>
      </c>
      <c r="F44" s="48" t="s">
        <v>400</v>
      </c>
      <c r="G44" s="106" t="s">
        <v>414</v>
      </c>
      <c r="H44" s="106" t="s">
        <v>415</v>
      </c>
      <c r="I44" s="106" t="s">
        <v>416</v>
      </c>
      <c r="J44" s="106" t="s">
        <v>417</v>
      </c>
      <c r="K44" s="106" t="s">
        <v>418</v>
      </c>
      <c r="L44" s="106" t="s">
        <v>419</v>
      </c>
      <c r="M44" s="107" t="s">
        <v>615</v>
      </c>
      <c r="N44" s="74" t="s">
        <v>533</v>
      </c>
      <c r="O44" s="74" t="s">
        <v>512</v>
      </c>
      <c r="P44" s="74" t="s">
        <v>513</v>
      </c>
      <c r="Q44" s="74" t="s">
        <v>514</v>
      </c>
    </row>
    <row r="45" spans="2:26" x14ac:dyDescent="0.3">
      <c r="C45" s="104" t="str">
        <f>IF(NOT('Te gebruiken meststoffen'!R3=0), 'Te gebruiken meststoffen'!R3,"")</f>
        <v/>
      </c>
      <c r="D45" s="104" t="str">
        <f>IFERROR(VLOOKUP(C45,'Te gebruiken meststoffen'!$R$3:$AA$10,2,FALSE),"")</f>
        <v/>
      </c>
      <c r="E45" s="105">
        <f>IFERROR(VLOOKUP(C45,'Te gebruiken meststoffen'!$R$3:$AA$10,3,FALSE),0)</f>
        <v>0</v>
      </c>
      <c r="F45" s="105">
        <f>IFERROR(VLOOKUP(C45,'Te gebruiken meststoffen'!$R$3:$AA$10,4,FALSE),0)</f>
        <v>0</v>
      </c>
      <c r="G45" s="105">
        <f>IFERROR(VLOOKUP(C45,'Te gebruiken meststoffen'!$R$3:$AA$10,5,FALSE),0)</f>
        <v>0</v>
      </c>
      <c r="H45" s="105">
        <f>IFERROR(VLOOKUP(C45,'Te gebruiken meststoffen'!$R$3:$AA$10,6,FALSE),0)</f>
        <v>0</v>
      </c>
      <c r="I45" s="105">
        <f>IFERROR(VLOOKUP(C45,'Te gebruiken meststoffen'!$R$3:$AA$10,7,FALSE),0)</f>
        <v>0</v>
      </c>
      <c r="J45" s="105">
        <f>IFERROR(VLOOKUP(C45,'Te gebruiken meststoffen'!$R$3:$AA$10,8,FALSE),0)</f>
        <v>0</v>
      </c>
      <c r="K45" s="105">
        <f>IFERROR(VLOOKUP(C45,'Te gebruiken meststoffen'!$R$3:$AA$10,9,FALSE),0)</f>
        <v>0</v>
      </c>
      <c r="L45" s="129">
        <f>IFERROR(VLOOKUP(C45,'Te gebruiken meststoffen'!$R$3:$AB$10,10,FALSE),0)</f>
        <v>0</v>
      </c>
      <c r="M45" s="105">
        <f>IFERROR(VLOOKUP(C45,'Te gebruiken meststoffen'!$R$3:$AH$10,17,FALSE),0)</f>
        <v>0</v>
      </c>
      <c r="N45" s="78">
        <f>IFERROR(VLOOKUP(C45,'Te gebruiken meststoffen'!$R$3:$AG$10,13,FALSE),0)</f>
        <v>0</v>
      </c>
      <c r="O45" s="78">
        <f>IFERROR(VLOOKUP(C45,'Te gebruiken meststoffen'!$R$3:$AG$10,14,FALSE),0)</f>
        <v>0</v>
      </c>
      <c r="P45" s="78">
        <f>IFERROR(VLOOKUP(C45,'Te gebruiken meststoffen'!$R$3:$AG$10,15,FALSE),0)</f>
        <v>0</v>
      </c>
      <c r="Q45" s="78">
        <f>IFERROR(VLOOKUP(C45,'Te gebruiken meststoffen'!$R$3:$AG$10,16,FALSE),0)</f>
        <v>0</v>
      </c>
      <c r="T45" s="149" t="e">
        <f>VLOOKUP(C45,'Te gebruiken meststoffen'!$R$3:$AB$10,11,FALSE)</f>
        <v>#N/A</v>
      </c>
    </row>
    <row r="46" spans="2:26" x14ac:dyDescent="0.3">
      <c r="C46" s="104" t="str">
        <f>IF(NOT('Te gebruiken meststoffen'!R4=0), 'Te gebruiken meststoffen'!R4,"")</f>
        <v/>
      </c>
      <c r="D46" s="86" t="str">
        <f>IFERROR(VLOOKUP(C46,'Te gebruiken meststoffen'!$R$3:$AA$10,2,FALSE),"")</f>
        <v/>
      </c>
      <c r="E46" s="99">
        <f>IFERROR(VLOOKUP(C46,'Te gebruiken meststoffen'!$R$3:$AA$10,3,FALSE),0)</f>
        <v>0</v>
      </c>
      <c r="F46" s="99">
        <f>IFERROR(VLOOKUP(C46,'Te gebruiken meststoffen'!$R$3:$AA$10,4,FALSE),0)</f>
        <v>0</v>
      </c>
      <c r="G46" s="99">
        <f>IFERROR(VLOOKUP(C46,'Te gebruiken meststoffen'!$R$3:$AA$10,5,FALSE),0)</f>
        <v>0</v>
      </c>
      <c r="H46" s="99">
        <f>IFERROR(VLOOKUP(C46,'Te gebruiken meststoffen'!$R$3:$AA$10,6,FALSE),0)</f>
        <v>0</v>
      </c>
      <c r="I46" s="99">
        <f>IFERROR(VLOOKUP(C46,'Te gebruiken meststoffen'!$R$3:$AA$10,7,FALSE),0)</f>
        <v>0</v>
      </c>
      <c r="J46" s="99">
        <f>IFERROR(VLOOKUP(C46,'Te gebruiken meststoffen'!$R$3:$AA$10,8,FALSE),0)</f>
        <v>0</v>
      </c>
      <c r="K46" s="99">
        <f>IFERROR(VLOOKUP(C46,'Te gebruiken meststoffen'!$R$3:$AA$10,9,FALSE),0)</f>
        <v>0</v>
      </c>
      <c r="L46" s="130">
        <f>IFERROR(VLOOKUP(C46,'Te gebruiken meststoffen'!$R$3:$AB$10,10,FALSE),0)</f>
        <v>0</v>
      </c>
      <c r="M46" s="99">
        <f>IFERROR(VLOOKUP(C46,'Te gebruiken meststoffen'!$R$3:$AH$10,17,FALSE),0)</f>
        <v>0</v>
      </c>
      <c r="N46" s="78">
        <f>IFERROR(VLOOKUP(C46,'Te gebruiken meststoffen'!$R$3:$AG$10,13,FALSE),0)</f>
        <v>0</v>
      </c>
      <c r="O46" s="78">
        <f>IFERROR(VLOOKUP(C46,'Te gebruiken meststoffen'!$R$3:$AG$10,14,FALSE),0)</f>
        <v>0</v>
      </c>
      <c r="P46" s="78">
        <f>IFERROR(VLOOKUP(C46,'Te gebruiken meststoffen'!$R$3:$AG$10,15,FALSE),0)</f>
        <v>0</v>
      </c>
      <c r="Q46" s="78">
        <f>IFERROR(VLOOKUP(C46,'Te gebruiken meststoffen'!$R$3:$AG$10,16,FALSE),0)</f>
        <v>0</v>
      </c>
      <c r="T46" s="149" t="e">
        <f>VLOOKUP(C46,'Te gebruiken meststoffen'!$R$3:$AB$10,11,FALSE)</f>
        <v>#N/A</v>
      </c>
    </row>
    <row r="47" spans="2:26" x14ac:dyDescent="0.3">
      <c r="C47" s="104" t="str">
        <f>IF(NOT('Te gebruiken meststoffen'!R5=0), 'Te gebruiken meststoffen'!R5,"")</f>
        <v/>
      </c>
      <c r="D47" s="86" t="str">
        <f>IFERROR(VLOOKUP(C47,'Te gebruiken meststoffen'!$R$3:$AA$10,2,FALSE),"")</f>
        <v/>
      </c>
      <c r="E47" s="99">
        <f>IFERROR(VLOOKUP(C47,'Te gebruiken meststoffen'!$R$3:$AA$10,3,FALSE),0)</f>
        <v>0</v>
      </c>
      <c r="F47" s="99">
        <f>IFERROR(VLOOKUP(C47,'Te gebruiken meststoffen'!$R$3:$AA$10,4,FALSE),0)</f>
        <v>0</v>
      </c>
      <c r="G47" s="99">
        <f>IFERROR(VLOOKUP(C47,'Te gebruiken meststoffen'!$R$3:$AA$10,5,FALSE),0)</f>
        <v>0</v>
      </c>
      <c r="H47" s="99">
        <f>IFERROR(VLOOKUP(C47,'Te gebruiken meststoffen'!$R$3:$AA$10,6,FALSE),0)</f>
        <v>0</v>
      </c>
      <c r="I47" s="99">
        <f>IFERROR(VLOOKUP(C47,'Te gebruiken meststoffen'!$R$3:$AA$10,7,FALSE),0)</f>
        <v>0</v>
      </c>
      <c r="J47" s="99">
        <f>IFERROR(VLOOKUP(C47,'Te gebruiken meststoffen'!$R$3:$AA$10,8,FALSE),0)</f>
        <v>0</v>
      </c>
      <c r="K47" s="99">
        <f>IFERROR(VLOOKUP(C47,'Te gebruiken meststoffen'!$R$3:$AA$10,9,FALSE),0)</f>
        <v>0</v>
      </c>
      <c r="L47" s="130">
        <f>IFERROR(VLOOKUP(C47,'Te gebruiken meststoffen'!$R$3:$AB$10,10,FALSE),0)</f>
        <v>0</v>
      </c>
      <c r="M47" s="99">
        <f>IFERROR(VLOOKUP(C47,'Te gebruiken meststoffen'!$R$3:$AH$10,17,FALSE),0)</f>
        <v>0</v>
      </c>
      <c r="N47" s="78">
        <f>IFERROR(VLOOKUP(C47,'Te gebruiken meststoffen'!$R$3:$AG$10,13,FALSE),0)</f>
        <v>0</v>
      </c>
      <c r="O47" s="78">
        <f>IFERROR(VLOOKUP(C47,'Te gebruiken meststoffen'!$R$3:$AG$10,14,FALSE),0)</f>
        <v>0</v>
      </c>
      <c r="P47" s="78">
        <f>IFERROR(VLOOKUP(C47,'Te gebruiken meststoffen'!$R$3:$AG$10,15,FALSE),0)</f>
        <v>0</v>
      </c>
      <c r="Q47" s="78">
        <f>IFERROR(VLOOKUP(C47,'Te gebruiken meststoffen'!$R$3:$AG$10,16,FALSE),0)</f>
        <v>0</v>
      </c>
      <c r="T47" s="149" t="e">
        <f>VLOOKUP(C47,'Te gebruiken meststoffen'!$R$3:$AB$10,11,FALSE)</f>
        <v>#N/A</v>
      </c>
    </row>
    <row r="48" spans="2:26" x14ac:dyDescent="0.3">
      <c r="C48" s="104" t="str">
        <f>IF(NOT('Te gebruiken meststoffen'!R6=0), 'Te gebruiken meststoffen'!R6,"")</f>
        <v/>
      </c>
      <c r="D48" s="86" t="str">
        <f>IFERROR(VLOOKUP(C48,'Te gebruiken meststoffen'!$R$3:$AA$10,2,FALSE),"")</f>
        <v/>
      </c>
      <c r="E48" s="99">
        <f>IFERROR(VLOOKUP(C48,'Te gebruiken meststoffen'!$R$3:$AA$10,3,FALSE),0)</f>
        <v>0</v>
      </c>
      <c r="F48" s="99">
        <f>IFERROR(VLOOKUP(C48,'Te gebruiken meststoffen'!$R$3:$AA$10,4,FALSE),0)</f>
        <v>0</v>
      </c>
      <c r="G48" s="99">
        <f>IFERROR(VLOOKUP(C48,'Te gebruiken meststoffen'!$R$3:$AA$10,5,FALSE),0)</f>
        <v>0</v>
      </c>
      <c r="H48" s="99">
        <f>IFERROR(VLOOKUP(C48,'Te gebruiken meststoffen'!$R$3:$AA$10,6,FALSE),0)</f>
        <v>0</v>
      </c>
      <c r="I48" s="99">
        <f>IFERROR(VLOOKUP(C48,'Te gebruiken meststoffen'!$R$3:$AA$10,7,FALSE),0)</f>
        <v>0</v>
      </c>
      <c r="J48" s="99">
        <f>IFERROR(VLOOKUP(C48,'Te gebruiken meststoffen'!$R$3:$AA$10,8,FALSE),0)</f>
        <v>0</v>
      </c>
      <c r="K48" s="99">
        <f>IFERROR(VLOOKUP(C48,'Te gebruiken meststoffen'!$R$3:$AA$10,9,FALSE),0)</f>
        <v>0</v>
      </c>
      <c r="L48" s="130">
        <f>IFERROR(VLOOKUP(C48,'Te gebruiken meststoffen'!$R$3:$AB$10,10,FALSE),0)</f>
        <v>0</v>
      </c>
      <c r="M48" s="99">
        <f>IFERROR(VLOOKUP(C48,'Te gebruiken meststoffen'!$R$3:$AH$10,17,FALSE),0)</f>
        <v>0</v>
      </c>
      <c r="N48" s="78">
        <f>IFERROR(VLOOKUP(C48,'Te gebruiken meststoffen'!$R$3:$AG$10,13,FALSE),0)</f>
        <v>0</v>
      </c>
      <c r="O48" s="78">
        <f>IFERROR(VLOOKUP(C48,'Te gebruiken meststoffen'!$R$3:$AG$10,14,FALSE),0)</f>
        <v>0</v>
      </c>
      <c r="P48" s="78">
        <f>IFERROR(VLOOKUP(C48,'Te gebruiken meststoffen'!$R$3:$AG$10,15,FALSE),0)</f>
        <v>0</v>
      </c>
      <c r="Q48" s="78">
        <f>IFERROR(VLOOKUP(C48,'Te gebruiken meststoffen'!$R$3:$AG$10,16,FALSE),0)</f>
        <v>0</v>
      </c>
      <c r="T48" s="149" t="e">
        <f>VLOOKUP(C48,'Te gebruiken meststoffen'!$R$3:$AB$10,11,FALSE)</f>
        <v>#N/A</v>
      </c>
    </row>
    <row r="49" spans="1:38" x14ac:dyDescent="0.3">
      <c r="C49" s="104" t="str">
        <f>IF(NOT('Te gebruiken meststoffen'!R7=0), 'Te gebruiken meststoffen'!R7,"")</f>
        <v/>
      </c>
      <c r="D49" s="86" t="str">
        <f>IFERROR(VLOOKUP(C49,'Te gebruiken meststoffen'!$R$3:$AA$10,2,FALSE),"")</f>
        <v/>
      </c>
      <c r="E49" s="99">
        <f>IFERROR(VLOOKUP(C49,'Te gebruiken meststoffen'!$R$3:$AA$10,3,FALSE),0)</f>
        <v>0</v>
      </c>
      <c r="F49" s="99">
        <f>IFERROR(VLOOKUP(C49,'Te gebruiken meststoffen'!$R$3:$AA$10,4,FALSE),0)</f>
        <v>0</v>
      </c>
      <c r="G49" s="99">
        <f>IFERROR(VLOOKUP(C49,'Te gebruiken meststoffen'!$R$3:$AA$10,5,FALSE),0)</f>
        <v>0</v>
      </c>
      <c r="H49" s="99">
        <f>IFERROR(VLOOKUP(C49,'Te gebruiken meststoffen'!$R$3:$AA$10,6,FALSE),0)</f>
        <v>0</v>
      </c>
      <c r="I49" s="99">
        <f>IFERROR(VLOOKUP(C49,'Te gebruiken meststoffen'!$R$3:$AA$10,7,FALSE),0)</f>
        <v>0</v>
      </c>
      <c r="J49" s="99">
        <f>IFERROR(VLOOKUP(C49,'Te gebruiken meststoffen'!$R$3:$AA$10,8,FALSE),0)</f>
        <v>0</v>
      </c>
      <c r="K49" s="99">
        <f>IFERROR(VLOOKUP(C49,'Te gebruiken meststoffen'!$R$3:$AA$10,9,FALSE),0)</f>
        <v>0</v>
      </c>
      <c r="L49" s="130">
        <f>IFERROR(VLOOKUP(C49,'Te gebruiken meststoffen'!$R$3:$AB$10,10,FALSE),0)</f>
        <v>0</v>
      </c>
      <c r="M49" s="99">
        <f>IFERROR(VLOOKUP(C49,'Te gebruiken meststoffen'!$R$3:$AH$10,17,FALSE),0)</f>
        <v>0</v>
      </c>
      <c r="N49" s="78">
        <f>IFERROR(VLOOKUP(C49,'Te gebruiken meststoffen'!$R$3:$AG$10,13,FALSE),0)</f>
        <v>0</v>
      </c>
      <c r="O49" s="78">
        <f>IFERROR(VLOOKUP(C49,'Te gebruiken meststoffen'!$R$3:$AG$10,14,FALSE),0)</f>
        <v>0</v>
      </c>
      <c r="P49" s="78">
        <f>IFERROR(VLOOKUP(C49,'Te gebruiken meststoffen'!$R$3:$AG$10,15,FALSE),0)</f>
        <v>0</v>
      </c>
      <c r="Q49" s="78">
        <f>IFERROR(VLOOKUP(C49,'Te gebruiken meststoffen'!$R$3:$AG$10,16,FALSE),0)</f>
        <v>0</v>
      </c>
      <c r="T49" s="149" t="e">
        <f>VLOOKUP(C49,'Te gebruiken meststoffen'!$R$3:$AB$10,11,FALSE)</f>
        <v>#N/A</v>
      </c>
    </row>
    <row r="50" spans="1:38" x14ac:dyDescent="0.3">
      <c r="C50" s="104" t="str">
        <f>IF(NOT('Te gebruiken meststoffen'!R8=0), 'Te gebruiken meststoffen'!R8,"")</f>
        <v/>
      </c>
      <c r="D50" s="86" t="str">
        <f>IFERROR(VLOOKUP(C50,'Te gebruiken meststoffen'!$R$3:$AA$10,2,FALSE),"")</f>
        <v/>
      </c>
      <c r="E50" s="99">
        <f>IFERROR(VLOOKUP(C50,'Te gebruiken meststoffen'!$R$3:$AA$10,3,FALSE),0)</f>
        <v>0</v>
      </c>
      <c r="F50" s="99">
        <f>IFERROR(VLOOKUP(C50,'Te gebruiken meststoffen'!$R$3:$AA$10,4,FALSE),0)</f>
        <v>0</v>
      </c>
      <c r="G50" s="99">
        <f>IFERROR(VLOOKUP(C50,'Te gebruiken meststoffen'!$R$3:$AA$10,5,FALSE),0)</f>
        <v>0</v>
      </c>
      <c r="H50" s="99">
        <f>IFERROR(VLOOKUP(C50,'Te gebruiken meststoffen'!$R$3:$AA$10,6,FALSE),0)</f>
        <v>0</v>
      </c>
      <c r="I50" s="99">
        <f>IFERROR(VLOOKUP(C50,'Te gebruiken meststoffen'!$R$3:$AA$10,7,FALSE),0)</f>
        <v>0</v>
      </c>
      <c r="J50" s="99">
        <f>IFERROR(VLOOKUP(C50,'Te gebruiken meststoffen'!$R$3:$AA$10,8,FALSE),0)</f>
        <v>0</v>
      </c>
      <c r="K50" s="99">
        <f>IFERROR(VLOOKUP(C50,'Te gebruiken meststoffen'!$R$3:$AA$10,9,FALSE),0)</f>
        <v>0</v>
      </c>
      <c r="L50" s="130">
        <f>IFERROR(VLOOKUP(C50,'Te gebruiken meststoffen'!$R$3:$AB$10,10,FALSE),0)</f>
        <v>0</v>
      </c>
      <c r="M50" s="99">
        <f>IFERROR(VLOOKUP(C50,'Te gebruiken meststoffen'!$R$3:$AH$10,17,FALSE),0)</f>
        <v>0</v>
      </c>
      <c r="N50" s="78">
        <f>IFERROR(VLOOKUP(C50,'Te gebruiken meststoffen'!$R$3:$AG$10,13,FALSE),0)</f>
        <v>0</v>
      </c>
      <c r="O50" s="78">
        <f>IFERROR(VLOOKUP(C50,'Te gebruiken meststoffen'!$R$3:$AG$10,14,FALSE),0)</f>
        <v>0</v>
      </c>
      <c r="P50" s="78">
        <f>IFERROR(VLOOKUP(C50,'Te gebruiken meststoffen'!$R$3:$AG$10,15,FALSE),0)</f>
        <v>0</v>
      </c>
      <c r="Q50" s="78">
        <f>IFERROR(VLOOKUP(C50,'Te gebruiken meststoffen'!$R$3:$AG$10,16,FALSE),0)</f>
        <v>0</v>
      </c>
      <c r="T50" s="149" t="e">
        <f>VLOOKUP(C50,'Te gebruiken meststoffen'!$R$3:$AB$10,11,FALSE)</f>
        <v>#N/A</v>
      </c>
    </row>
    <row r="51" spans="1:38" x14ac:dyDescent="0.3">
      <c r="C51" s="104" t="str">
        <f>IF(NOT('Te gebruiken meststoffen'!R9=0), 'Te gebruiken meststoffen'!R9,"")</f>
        <v/>
      </c>
      <c r="D51" s="86" t="str">
        <f>IFERROR(VLOOKUP(C51,'Te gebruiken meststoffen'!$R$3:$AA$10,2,FALSE),"")</f>
        <v/>
      </c>
      <c r="E51" s="99">
        <f>IFERROR(VLOOKUP(C51,'Te gebruiken meststoffen'!$R$3:$AA$10,3,FALSE),0)</f>
        <v>0</v>
      </c>
      <c r="F51" s="99">
        <f>IFERROR(VLOOKUP(C51,'Te gebruiken meststoffen'!$R$3:$AA$10,4,FALSE),0)</f>
        <v>0</v>
      </c>
      <c r="G51" s="99">
        <f>IFERROR(VLOOKUP(C51,'Te gebruiken meststoffen'!$R$3:$AA$10,5,FALSE),0)</f>
        <v>0</v>
      </c>
      <c r="H51" s="99">
        <f>IFERROR(VLOOKUP(C51,'Te gebruiken meststoffen'!$R$3:$AA$10,6,FALSE),0)</f>
        <v>0</v>
      </c>
      <c r="I51" s="99">
        <f>IFERROR(VLOOKUP(C51,'Te gebruiken meststoffen'!$R$3:$AA$10,7,FALSE),0)</f>
        <v>0</v>
      </c>
      <c r="J51" s="99">
        <f>IFERROR(VLOOKUP(C51,'Te gebruiken meststoffen'!$R$3:$AA$10,8,FALSE),0)</f>
        <v>0</v>
      </c>
      <c r="K51" s="99">
        <f>IFERROR(VLOOKUP(C51,'Te gebruiken meststoffen'!$R$3:$AA$10,9,FALSE),0)</f>
        <v>0</v>
      </c>
      <c r="L51" s="130">
        <f>IFERROR(VLOOKUP(C51,'Te gebruiken meststoffen'!$R$3:$AB$10,10,FALSE),0)</f>
        <v>0</v>
      </c>
      <c r="M51" s="99">
        <f>IFERROR(VLOOKUP(C51,'Te gebruiken meststoffen'!$R$3:$AH$10,17,FALSE),0)</f>
        <v>0</v>
      </c>
      <c r="N51" s="78">
        <f>IFERROR(VLOOKUP(C51,'Te gebruiken meststoffen'!$R$3:$AG$10,13,FALSE),0)</f>
        <v>0</v>
      </c>
      <c r="O51" s="78">
        <f>IFERROR(VLOOKUP(C51,'Te gebruiken meststoffen'!$R$3:$AG$10,14,FALSE),0)</f>
        <v>0</v>
      </c>
      <c r="P51" s="78">
        <f>IFERROR(VLOOKUP(C51,'Te gebruiken meststoffen'!$R$3:$AG$10,15,FALSE),0)</f>
        <v>0</v>
      </c>
      <c r="Q51" s="78">
        <f>IFERROR(VLOOKUP(C51,'Te gebruiken meststoffen'!$R$3:$AG$10,16,FALSE),0)</f>
        <v>0</v>
      </c>
      <c r="T51" s="149" t="e">
        <f>VLOOKUP(C51,'Te gebruiken meststoffen'!$R$3:$AB$10,11,FALSE)</f>
        <v>#N/A</v>
      </c>
    </row>
    <row r="52" spans="1:38" x14ac:dyDescent="0.3">
      <c r="C52" s="104" t="str">
        <f>IF(NOT('Te gebruiken meststoffen'!R10=0), 'Te gebruiken meststoffen'!R10,"")</f>
        <v/>
      </c>
      <c r="D52" s="86" t="str">
        <f>IFERROR(VLOOKUP(C52,'Te gebruiken meststoffen'!$R$3:$AA$10,2,FALSE),"")</f>
        <v/>
      </c>
      <c r="E52" s="99">
        <f>IFERROR(VLOOKUP(C52,'Te gebruiken meststoffen'!$R$3:$AA$10,3,FALSE),0)</f>
        <v>0</v>
      </c>
      <c r="F52" s="99">
        <f>IFERROR(VLOOKUP(C52,'Te gebruiken meststoffen'!$R$3:$AA$10,4,FALSE),0)</f>
        <v>0</v>
      </c>
      <c r="G52" s="99">
        <f>IFERROR(VLOOKUP(C52,'Te gebruiken meststoffen'!$R$3:$AA$10,5,FALSE),0)</f>
        <v>0</v>
      </c>
      <c r="H52" s="99">
        <f>IFERROR(VLOOKUP(C52,'Te gebruiken meststoffen'!$R$3:$AA$10,6,FALSE),0)</f>
        <v>0</v>
      </c>
      <c r="I52" s="99">
        <f>IFERROR(VLOOKUP(C52,'Te gebruiken meststoffen'!$R$3:$AA$10,7,FALSE),0)</f>
        <v>0</v>
      </c>
      <c r="J52" s="99">
        <f>IFERROR(VLOOKUP(C52,'Te gebruiken meststoffen'!$R$3:$AA$10,8,FALSE),0)</f>
        <v>0</v>
      </c>
      <c r="K52" s="99">
        <f>IFERROR(VLOOKUP(C52,'Te gebruiken meststoffen'!$R$3:$AA$10,9,FALSE),0)</f>
        <v>0</v>
      </c>
      <c r="L52" s="130">
        <f>IFERROR(VLOOKUP(C52,'Te gebruiken meststoffen'!$R$3:$AB$10,10,FALSE),0)</f>
        <v>0</v>
      </c>
      <c r="M52" s="144">
        <f>IFERROR(VLOOKUP(C52,'Te gebruiken meststoffen'!$R$3:$AH$10,17,FALSE),0)</f>
        <v>0</v>
      </c>
      <c r="N52" s="78">
        <f>IFERROR(VLOOKUP(C52,'Te gebruiken meststoffen'!$R$3:$AG$10,13,FALSE),0)</f>
        <v>0</v>
      </c>
      <c r="O52" s="78">
        <f>IFERROR(VLOOKUP(C52,'Te gebruiken meststoffen'!$R$3:$AG$10,14,FALSE),0)</f>
        <v>0</v>
      </c>
      <c r="P52" s="78">
        <f>IFERROR(VLOOKUP(C52,'Te gebruiken meststoffen'!$R$3:$AG$10,15,FALSE),0)</f>
        <v>0</v>
      </c>
      <c r="Q52" s="78">
        <f>IFERROR(VLOOKUP(C52,'Te gebruiken meststoffen'!$R$3:$AG$10,16,FALSE),0)</f>
        <v>0</v>
      </c>
      <c r="T52" s="149" t="e">
        <f>VLOOKUP(C52,'Te gebruiken meststoffen'!$R$3:$AB$10,11,FALSE)</f>
        <v>#N/A</v>
      </c>
    </row>
    <row r="53" spans="1:38" x14ac:dyDescent="0.3">
      <c r="C53" t="str">
        <f>IF(G4=1,_xlfn.CONCAT($G$3," ",G4),"")</f>
        <v/>
      </c>
      <c r="D53" t="str">
        <f>IF(C53="","","kg")</f>
        <v/>
      </c>
      <c r="E53" s="78" t="str">
        <f t="shared" ref="E53:G58" si="12">IF(C53="","",P4)</f>
        <v/>
      </c>
      <c r="F53" s="78" t="str">
        <f t="shared" si="12"/>
        <v/>
      </c>
      <c r="G53" s="78" t="str">
        <f t="shared" si="12"/>
        <v/>
      </c>
      <c r="M53" s="193"/>
      <c r="N53" s="78" t="str">
        <f t="shared" ref="N53:N58" si="13">F53</f>
        <v/>
      </c>
      <c r="T53" s="149" t="str">
        <f>IF(E53="","","DIERLIJKE")</f>
        <v/>
      </c>
    </row>
    <row r="54" spans="1:38" x14ac:dyDescent="0.3">
      <c r="C54" t="str">
        <f>IF(G5=2,_xlfn.CONCAT($G$3," ",G5),"")</f>
        <v/>
      </c>
      <c r="D54" t="str">
        <f t="shared" ref="D54:D58" si="14">IF(C54="","","kg")</f>
        <v/>
      </c>
      <c r="E54" s="78" t="str">
        <f t="shared" si="12"/>
        <v/>
      </c>
      <c r="F54" s="78" t="str">
        <f t="shared" si="12"/>
        <v/>
      </c>
      <c r="G54" s="78" t="str">
        <f t="shared" si="12"/>
        <v/>
      </c>
      <c r="M54" s="194"/>
      <c r="N54" s="78" t="str">
        <f t="shared" si="13"/>
        <v/>
      </c>
      <c r="T54" s="149" t="str">
        <f t="shared" ref="T54:T58" si="15">IF(E54="","","DIERLIJKE")</f>
        <v/>
      </c>
    </row>
    <row r="55" spans="1:38" x14ac:dyDescent="0.3">
      <c r="C55" t="str">
        <f>IF(G6=3,_xlfn.CONCAT($G$3," ",G6),"")</f>
        <v/>
      </c>
      <c r="D55" t="str">
        <f t="shared" si="14"/>
        <v/>
      </c>
      <c r="E55" s="78" t="str">
        <f t="shared" si="12"/>
        <v/>
      </c>
      <c r="F55" s="78" t="str">
        <f t="shared" si="12"/>
        <v/>
      </c>
      <c r="G55" s="78" t="str">
        <f t="shared" si="12"/>
        <v/>
      </c>
      <c r="M55" s="194"/>
      <c r="N55" s="78" t="str">
        <f t="shared" si="13"/>
        <v/>
      </c>
      <c r="T55" s="149" t="str">
        <f t="shared" si="15"/>
        <v/>
      </c>
    </row>
    <row r="56" spans="1:38" x14ac:dyDescent="0.3">
      <c r="C56" t="str">
        <f>IF(G7=4,_xlfn.CONCAT($G$3," ",G7),"")</f>
        <v/>
      </c>
      <c r="D56" t="str">
        <f t="shared" si="14"/>
        <v/>
      </c>
      <c r="E56" s="78" t="str">
        <f t="shared" si="12"/>
        <v/>
      </c>
      <c r="F56" s="78" t="str">
        <f t="shared" si="12"/>
        <v/>
      </c>
      <c r="G56" s="78" t="str">
        <f t="shared" si="12"/>
        <v/>
      </c>
      <c r="M56" s="189"/>
      <c r="N56" s="78" t="str">
        <f t="shared" si="13"/>
        <v/>
      </c>
      <c r="T56" s="149" t="str">
        <f t="shared" si="15"/>
        <v/>
      </c>
    </row>
    <row r="57" spans="1:38" x14ac:dyDescent="0.3">
      <c r="C57" t="str">
        <f>IF(G8=5,_xlfn.CONCAT($G$3," ",G8),"")</f>
        <v/>
      </c>
      <c r="D57" t="str">
        <f t="shared" si="14"/>
        <v/>
      </c>
      <c r="E57" s="78" t="str">
        <f t="shared" si="12"/>
        <v/>
      </c>
      <c r="F57" s="78" t="str">
        <f t="shared" si="12"/>
        <v/>
      </c>
      <c r="G57" s="78" t="str">
        <f t="shared" si="12"/>
        <v/>
      </c>
      <c r="M57" s="189"/>
      <c r="N57" s="78" t="str">
        <f t="shared" si="13"/>
        <v/>
      </c>
      <c r="T57" s="149" t="str">
        <f t="shared" si="15"/>
        <v/>
      </c>
    </row>
    <row r="58" spans="1:38" x14ac:dyDescent="0.3">
      <c r="C58" t="str">
        <f>IF(G9=6,_xlfn.CONCAT($G$3," ",G9),"")</f>
        <v/>
      </c>
      <c r="D58" t="str">
        <f t="shared" si="14"/>
        <v/>
      </c>
      <c r="E58" s="78" t="str">
        <f t="shared" si="12"/>
        <v/>
      </c>
      <c r="F58" s="78" t="str">
        <f t="shared" si="12"/>
        <v/>
      </c>
      <c r="G58" s="78" t="str">
        <f t="shared" si="12"/>
        <v/>
      </c>
      <c r="M58" s="189"/>
      <c r="N58" s="78" t="str">
        <f t="shared" si="13"/>
        <v/>
      </c>
      <c r="T58" s="149" t="str">
        <f t="shared" si="15"/>
        <v/>
      </c>
    </row>
    <row r="59" spans="1:38" ht="18" x14ac:dyDescent="0.35">
      <c r="C59" s="29" t="s">
        <v>463</v>
      </c>
      <c r="T59" s="147"/>
    </row>
    <row r="60" spans="1:38" ht="15" thickBot="1" x14ac:dyDescent="0.35"/>
    <row r="61" spans="1:38" ht="19.8" thickBot="1" x14ac:dyDescent="0.35">
      <c r="C61" s="47" t="s">
        <v>464</v>
      </c>
      <c r="D61" s="56" t="s">
        <v>532</v>
      </c>
      <c r="E61" s="56" t="s">
        <v>467</v>
      </c>
      <c r="F61" s="48" t="s">
        <v>470</v>
      </c>
      <c r="G61" s="48" t="s">
        <v>400</v>
      </c>
      <c r="H61" s="48" t="s">
        <v>414</v>
      </c>
      <c r="I61" s="48" t="s">
        <v>415</v>
      </c>
      <c r="J61" s="48" t="s">
        <v>416</v>
      </c>
      <c r="K61" s="48" t="s">
        <v>417</v>
      </c>
      <c r="L61" s="48" t="s">
        <v>418</v>
      </c>
      <c r="M61" s="57" t="s">
        <v>419</v>
      </c>
      <c r="N61" s="82" t="s">
        <v>510</v>
      </c>
      <c r="O61" s="48" t="s">
        <v>494</v>
      </c>
      <c r="P61" s="48" t="s">
        <v>491</v>
      </c>
      <c r="Q61" s="48" t="s">
        <v>492</v>
      </c>
      <c r="R61" s="57" t="s">
        <v>493</v>
      </c>
      <c r="S61" s="81" t="s">
        <v>608</v>
      </c>
      <c r="T61" s="136" t="s">
        <v>613</v>
      </c>
      <c r="U61" s="56"/>
      <c r="V61" s="56" t="s">
        <v>614</v>
      </c>
      <c r="W61" s="80" t="s">
        <v>616</v>
      </c>
      <c r="Y61" s="147" t="str">
        <f>_xlfn.CONCAT("Kostprijs bemesting ",C45," (EUR/ha)")</f>
        <v>Kostprijs bemesting  (EUR/ha)</v>
      </c>
      <c r="Z61" s="147" t="str">
        <f>_xlfn.CONCAT("Kostprijs bemesting ",C46," (EUR/ha)")</f>
        <v>Kostprijs bemesting  (EUR/ha)</v>
      </c>
      <c r="AA61" s="147" t="str">
        <f>_xlfn.CONCAT("Kostprijs bemesting ",C47," (EUR/ha)")</f>
        <v>Kostprijs bemesting  (EUR/ha)</v>
      </c>
      <c r="AB61" s="147" t="str">
        <f>_xlfn.CONCAT("Kostprijs bemesting ",C48," (EUR/ha)")</f>
        <v>Kostprijs bemesting  (EUR/ha)</v>
      </c>
      <c r="AC61" s="147" t="str">
        <f>_xlfn.CONCAT("Kostprijs bemesting ",C49," (EUR/ha)")</f>
        <v>Kostprijs bemesting  (EUR/ha)</v>
      </c>
      <c r="AD61" s="147" t="str">
        <f>_xlfn.CONCAT("Kostprijs bemesting ",C50," (EUR/ha)")</f>
        <v>Kostprijs bemesting  (EUR/ha)</v>
      </c>
      <c r="AE61" s="147" t="str">
        <f>_xlfn.CONCAT("Kostprijs bemesting ",C51," (EUR/ha)")</f>
        <v>Kostprijs bemesting  (EUR/ha)</v>
      </c>
      <c r="AF61" s="147" t="str">
        <f>_xlfn.CONCAT("Kostprijs bemesting ",C52," (EUR/ha)")</f>
        <v>Kostprijs bemesting  (EUR/ha)</v>
      </c>
      <c r="AG61" s="147" t="str">
        <f>_xlfn.CONCAT("Kostprijs bemesting ",C53," (EUR/ha)")</f>
        <v>Kostprijs bemesting  (EUR/ha)</v>
      </c>
      <c r="AH61" s="147" t="str">
        <f>_xlfn.CONCAT("Kostprijs bemesting ",C54," (EUR/ha)")</f>
        <v>Kostprijs bemesting  (EUR/ha)</v>
      </c>
      <c r="AI61" s="147" t="str">
        <f>_xlfn.CONCAT("Kostprijs bemesting ",C55," (EUR/ha)")</f>
        <v>Kostprijs bemesting  (EUR/ha)</v>
      </c>
      <c r="AJ61" s="147" t="str">
        <f>_xlfn.CONCAT("Kostprijs bemesting ",C56," (EUR/ha)")</f>
        <v>Kostprijs bemesting  (EUR/ha)</v>
      </c>
      <c r="AK61" s="147" t="str">
        <f>_xlfn.CONCAT("Kostprijs bemesting ",C57," (EUR/ha)")</f>
        <v>Kostprijs bemesting  (EUR/ha)</v>
      </c>
      <c r="AL61" s="147" t="str">
        <f>_xlfn.CONCAT("Kostprijs bemesting ",C58," (EUR/ha)")</f>
        <v>Kostprijs bemesting  (EUR/ha)</v>
      </c>
    </row>
    <row r="62" spans="1:38" ht="15" thickBot="1" x14ac:dyDescent="0.35">
      <c r="A62" s="128" t="s">
        <v>611</v>
      </c>
      <c r="C62" s="97" t="s">
        <v>465</v>
      </c>
      <c r="M62" s="43"/>
      <c r="T62" s="115"/>
      <c r="U62" s="76"/>
      <c r="V62" s="132"/>
      <c r="W62" s="133"/>
      <c r="Y62" s="147" t="str">
        <f>C45</f>
        <v/>
      </c>
      <c r="Z62" s="147" t="str">
        <f>C46</f>
        <v/>
      </c>
      <c r="AA62" s="147" t="str">
        <f>C47</f>
        <v/>
      </c>
      <c r="AB62" s="147" t="str">
        <f>C48</f>
        <v/>
      </c>
      <c r="AC62" s="147" t="str">
        <f>C49</f>
        <v/>
      </c>
      <c r="AD62" s="147" t="str">
        <f>C50</f>
        <v/>
      </c>
      <c r="AE62" s="147" t="str">
        <f>C51</f>
        <v/>
      </c>
      <c r="AF62" s="147" t="str">
        <f>C52</f>
        <v/>
      </c>
      <c r="AG62" s="147" t="str">
        <f>C53</f>
        <v/>
      </c>
      <c r="AH62" s="147" t="str">
        <f>C54</f>
        <v/>
      </c>
      <c r="AI62" s="147" t="str">
        <f>C55</f>
        <v/>
      </c>
      <c r="AJ62" s="147" t="str">
        <f>C56</f>
        <v/>
      </c>
      <c r="AK62" s="147" t="str">
        <f>C57</f>
        <v/>
      </c>
      <c r="AL62" s="147" t="str">
        <f>C58</f>
        <v/>
      </c>
    </row>
    <row r="63" spans="1:38" x14ac:dyDescent="0.3">
      <c r="A63" s="195"/>
      <c r="C63" s="198"/>
      <c r="D63" s="199"/>
      <c r="E63" s="35" t="str">
        <f>_xlfn.IFNA(VLOOKUP(C63,'Te gebruiken meststoffen'!$R$3:$AC$10,12,FALSE),"")</f>
        <v/>
      </c>
      <c r="F63" s="50">
        <f>D63*(IFERROR(VLOOKUP(C63,$C$45:$Q$58,3,FALSE),0))</f>
        <v>0</v>
      </c>
      <c r="G63" s="50">
        <f>O63</f>
        <v>0</v>
      </c>
      <c r="H63" s="50">
        <f t="shared" ref="H63:H68" si="16">D63*(IFERROR(VLOOKUP(C63,$C$45:$Q$58,5,FALSE),0))</f>
        <v>0</v>
      </c>
      <c r="I63" s="50">
        <f>D63*(IFERROR(VLOOKUP(C63,$C$45:$Q$58,6,FALSE),0))</f>
        <v>0</v>
      </c>
      <c r="J63" s="50">
        <f t="shared" ref="J63:J68" si="17">D63*(IFERROR(VLOOKUP(C63,$C$45:$Q$58,7,FALSE),0))</f>
        <v>0</v>
      </c>
      <c r="K63" s="50">
        <f t="shared" ref="K63:K68" si="18">D63*(IFERROR(VLOOKUP(C63,$C$45:$Q$58,8,FALSE),0))</f>
        <v>0</v>
      </c>
      <c r="L63" s="50">
        <f t="shared" ref="L63:L68" si="19">D63*(IFERROR(VLOOKUP(C63,$C$45:$Q$58,9,FALSE),0))</f>
        <v>0</v>
      </c>
      <c r="M63" s="51">
        <f t="shared" ref="M63:M68" si="20">D63*(IFERROR(VLOOKUP(C63,$C$45:$Q$58,10,FALSE),0))</f>
        <v>0</v>
      </c>
      <c r="N63">
        <f>O63</f>
        <v>0</v>
      </c>
      <c r="O63">
        <f t="shared" ref="O63:O68" si="21">D63*(IFERROR(VLOOKUP(C63,$C$45:$Q$58,12,FALSE),0))</f>
        <v>0</v>
      </c>
      <c r="P63">
        <f t="shared" ref="P63:P68" si="22">D63*(IFERROR(VLOOKUP(C63,$C$45:$Q$58,13,FALSE),0))</f>
        <v>0</v>
      </c>
      <c r="Q63">
        <f t="shared" ref="Q63:Q68" si="23">D63*(IFERROR(VLOOKUP(C63,$C$45:$Q$58,14,FALSE),0))</f>
        <v>0</v>
      </c>
      <c r="R63">
        <f t="shared" ref="R63:R68" si="24">D63*(IFERROR(VLOOKUP(C63,$C$45:$Q$58,15,FALSE),0))</f>
        <v>0</v>
      </c>
      <c r="S63">
        <f t="shared" ref="S63:S68" si="25">IF(F63&gt;0,F63,G63)</f>
        <v>0</v>
      </c>
      <c r="T63" s="34" t="str">
        <f>IF(D63="","",D63*$D$9)</f>
        <v/>
      </c>
      <c r="U63" s="35" t="str">
        <f>IF(D63="","",E63)</f>
        <v/>
      </c>
      <c r="V63" s="35" t="str">
        <f>IF(D63="","",D63*(VLOOKUP(C63,$C$45:$M$58,11,FALSE)))</f>
        <v/>
      </c>
      <c r="W63" s="36" t="str">
        <f>IF(T63="","",T63*(VLOOKUP(C63,$C$45:$M$58,11,FALSE)))</f>
        <v/>
      </c>
      <c r="Y63" s="147" t="str">
        <f>IF(C63=$C$45,V63,"")</f>
        <v/>
      </c>
      <c r="Z63" s="147" t="str">
        <f>IF(C63=$C$46,V63,"")</f>
        <v/>
      </c>
      <c r="AA63" s="147" t="str">
        <f>IF(C63=$C$47,V63,"")</f>
        <v/>
      </c>
      <c r="AB63" s="147" t="str">
        <f>IF(C63=$C$48,V63,"")</f>
        <v/>
      </c>
      <c r="AC63" s="147" t="str">
        <f>IF(C63=$C$49,V63,"")</f>
        <v/>
      </c>
      <c r="AD63" s="147" t="str">
        <f>IF(C63=$C$50,V63,"")</f>
        <v/>
      </c>
      <c r="AE63" s="147" t="str">
        <f>IF(C63=$C$51,V63,"")</f>
        <v/>
      </c>
      <c r="AF63" s="147" t="str">
        <f>IF(C63=$C$52,V63,"")</f>
        <v/>
      </c>
      <c r="AG63" s="147" t="str">
        <f>IF(C63=$C$53,V63,"")</f>
        <v/>
      </c>
      <c r="AH63" s="147" t="str">
        <f>IF(C63=$C$54,V63,"")</f>
        <v/>
      </c>
      <c r="AI63" s="147" t="str">
        <f>IF(C63=$C$55,V63,"")</f>
        <v/>
      </c>
      <c r="AJ63" s="147" t="str">
        <f>IF(C63=$C$56,V63,"")</f>
        <v/>
      </c>
      <c r="AK63" s="147" t="str">
        <f>IF(C63=$C$57,V63,"")</f>
        <v/>
      </c>
      <c r="AL63" s="147" t="str">
        <f>IF(C63=$C$58,V63,"")</f>
        <v/>
      </c>
    </row>
    <row r="64" spans="1:38" x14ac:dyDescent="0.3">
      <c r="A64" s="196"/>
      <c r="C64" s="200"/>
      <c r="D64" s="201"/>
      <c r="E64" t="str">
        <f>_xlfn.IFNA(VLOOKUP(C64,'Te gebruiken meststoffen'!$R$3:$AC$10,12,FALSE),"")</f>
        <v/>
      </c>
      <c r="F64" s="52">
        <f>D64*(IFERROR(VLOOKUP(C64,$C$45:$Q$58,3,FALSE),0))</f>
        <v>0</v>
      </c>
      <c r="G64" s="52">
        <f t="shared" ref="G64:G68" si="26">O64</f>
        <v>0</v>
      </c>
      <c r="H64" s="52">
        <f t="shared" si="16"/>
        <v>0</v>
      </c>
      <c r="I64" s="52">
        <f t="shared" ref="I64:I68" si="27">D64*(IFERROR(VLOOKUP(C64,$C$45:$Q$58,6,FALSE),0))</f>
        <v>0</v>
      </c>
      <c r="J64" s="52">
        <f t="shared" si="17"/>
        <v>0</v>
      </c>
      <c r="K64" s="52">
        <f t="shared" si="18"/>
        <v>0</v>
      </c>
      <c r="L64" s="52">
        <f t="shared" si="19"/>
        <v>0</v>
      </c>
      <c r="M64" s="53">
        <f t="shared" si="20"/>
        <v>0</v>
      </c>
      <c r="N64">
        <f>O64</f>
        <v>0</v>
      </c>
      <c r="O64">
        <f t="shared" si="21"/>
        <v>0</v>
      </c>
      <c r="P64">
        <f t="shared" si="22"/>
        <v>0</v>
      </c>
      <c r="Q64">
        <f t="shared" si="23"/>
        <v>0</v>
      </c>
      <c r="R64">
        <f t="shared" si="24"/>
        <v>0</v>
      </c>
      <c r="S64">
        <f t="shared" si="25"/>
        <v>0</v>
      </c>
      <c r="T64" s="40" t="str">
        <f t="shared" ref="T64:T68" si="28">IF(D64="","",D64*$D$9)</f>
        <v/>
      </c>
      <c r="U64" t="str">
        <f t="shared" ref="U64:U68" si="29">IF(D64="","",E64)</f>
        <v/>
      </c>
      <c r="V64" t="str">
        <f t="shared" ref="V64:V68" si="30">IF(D64="","",D64*(VLOOKUP(C64,$C$45:$M$58,11,FALSE)))</f>
        <v/>
      </c>
      <c r="W64" s="43" t="str">
        <f t="shared" ref="W64:W68" si="31">IF(T64="","",T64*(VLOOKUP(C64,$C$45:$M$58,11,FALSE)))</f>
        <v/>
      </c>
      <c r="Y64" s="147" t="str">
        <f t="shared" ref="Y64:Y108" si="32">IF(C64=$C$45,V64,"")</f>
        <v/>
      </c>
      <c r="Z64" s="147" t="str">
        <f t="shared" ref="Z64:Z108" si="33">IF(C64=$C$46,V64,"")</f>
        <v/>
      </c>
      <c r="AA64" s="147" t="str">
        <f t="shared" ref="AA64:AA108" si="34">IF(C64=$C$47,V64,"")</f>
        <v/>
      </c>
      <c r="AB64" s="147" t="str">
        <f t="shared" ref="AB64:AB108" si="35">IF(C64=$C$48,V64,"")</f>
        <v/>
      </c>
      <c r="AC64" s="147" t="str">
        <f t="shared" ref="AC64:AC108" si="36">IF(C64=$C$49,V64,"")</f>
        <v/>
      </c>
      <c r="AD64" s="147" t="str">
        <f t="shared" ref="AD64:AD108" si="37">IF(C64=$C$50,V64,"")</f>
        <v/>
      </c>
      <c r="AE64" s="147" t="str">
        <f t="shared" ref="AE64:AE108" si="38">IF(C64=$C$51,V64,"")</f>
        <v/>
      </c>
      <c r="AF64" s="147" t="str">
        <f t="shared" ref="AF64:AF108" si="39">IF(C64=$C$52,V64,"")</f>
        <v/>
      </c>
      <c r="AG64" s="147" t="str">
        <f t="shared" ref="AG64:AG108" si="40">IF(C64=$C$53,V64,"")</f>
        <v/>
      </c>
      <c r="AH64" s="147" t="str">
        <f t="shared" ref="AH64:AH108" si="41">IF(C64=$C$54,V64,"")</f>
        <v/>
      </c>
      <c r="AI64" s="147" t="str">
        <f t="shared" ref="AI64:AI108" si="42">IF(C64=$C$55,V64,"")</f>
        <v/>
      </c>
      <c r="AJ64" s="147" t="str">
        <f t="shared" ref="AJ64:AJ108" si="43">IF(C64=$C$56,V64,"")</f>
        <v/>
      </c>
      <c r="AK64" s="147" t="str">
        <f t="shared" ref="AK64:AK108" si="44">IF(C64=$C$57,V64,"")</f>
        <v/>
      </c>
      <c r="AL64" s="147" t="str">
        <f t="shared" ref="AL64:AL108" si="45">IF(C64=$C$58,V64,"")</f>
        <v/>
      </c>
    </row>
    <row r="65" spans="1:38" x14ac:dyDescent="0.3">
      <c r="A65" s="196"/>
      <c r="C65" s="200"/>
      <c r="D65" s="201"/>
      <c r="E65" t="str">
        <f>_xlfn.IFNA(VLOOKUP(C65,'Te gebruiken meststoffen'!$R$3:$AC$10,12,FALSE),"")</f>
        <v/>
      </c>
      <c r="F65" s="52">
        <f t="shared" ref="F65:F68" si="46">D65*(IFERROR(VLOOKUP(C65,$C$45:$Q$58,3,FALSE),0))</f>
        <v>0</v>
      </c>
      <c r="G65" s="52">
        <f t="shared" si="26"/>
        <v>0</v>
      </c>
      <c r="H65" s="52">
        <f t="shared" si="16"/>
        <v>0</v>
      </c>
      <c r="I65" s="52">
        <f t="shared" si="27"/>
        <v>0</v>
      </c>
      <c r="J65" s="52">
        <f t="shared" si="17"/>
        <v>0</v>
      </c>
      <c r="K65" s="52">
        <f t="shared" si="18"/>
        <v>0</v>
      </c>
      <c r="L65" s="52">
        <f t="shared" si="19"/>
        <v>0</v>
      </c>
      <c r="M65" s="53">
        <f t="shared" si="20"/>
        <v>0</v>
      </c>
      <c r="N65">
        <f t="shared" ref="N65:N68" si="47">O65</f>
        <v>0</v>
      </c>
      <c r="O65">
        <f t="shared" si="21"/>
        <v>0</v>
      </c>
      <c r="P65">
        <f t="shared" si="22"/>
        <v>0</v>
      </c>
      <c r="Q65">
        <f t="shared" si="23"/>
        <v>0</v>
      </c>
      <c r="R65">
        <f t="shared" si="24"/>
        <v>0</v>
      </c>
      <c r="S65">
        <f t="shared" si="25"/>
        <v>0</v>
      </c>
      <c r="T65" s="40" t="str">
        <f t="shared" si="28"/>
        <v/>
      </c>
      <c r="U65" t="str">
        <f t="shared" si="29"/>
        <v/>
      </c>
      <c r="V65" t="str">
        <f t="shared" si="30"/>
        <v/>
      </c>
      <c r="W65" s="43" t="str">
        <f t="shared" si="31"/>
        <v/>
      </c>
      <c r="Y65" s="147" t="str">
        <f t="shared" si="32"/>
        <v/>
      </c>
      <c r="Z65" s="147" t="str">
        <f t="shared" si="33"/>
        <v/>
      </c>
      <c r="AA65" s="147" t="str">
        <f t="shared" si="34"/>
        <v/>
      </c>
      <c r="AB65" s="147" t="str">
        <f t="shared" si="35"/>
        <v/>
      </c>
      <c r="AC65" s="147" t="str">
        <f t="shared" si="36"/>
        <v/>
      </c>
      <c r="AD65" s="147" t="str">
        <f t="shared" si="37"/>
        <v/>
      </c>
      <c r="AE65" s="147" t="str">
        <f t="shared" si="38"/>
        <v/>
      </c>
      <c r="AF65" s="147" t="str">
        <f t="shared" si="39"/>
        <v/>
      </c>
      <c r="AG65" s="147" t="str">
        <f t="shared" si="40"/>
        <v/>
      </c>
      <c r="AH65" s="147" t="str">
        <f t="shared" si="41"/>
        <v/>
      </c>
      <c r="AI65" s="147" t="str">
        <f t="shared" si="42"/>
        <v/>
      </c>
      <c r="AJ65" s="147" t="str">
        <f t="shared" si="43"/>
        <v/>
      </c>
      <c r="AK65" s="147" t="str">
        <f t="shared" si="44"/>
        <v/>
      </c>
      <c r="AL65" s="147" t="str">
        <f t="shared" si="45"/>
        <v/>
      </c>
    </row>
    <row r="66" spans="1:38" x14ac:dyDescent="0.3">
      <c r="A66" s="196"/>
      <c r="C66" s="200"/>
      <c r="D66" s="201"/>
      <c r="E66" t="str">
        <f>_xlfn.IFNA(VLOOKUP(C66,'Te gebruiken meststoffen'!$R$3:$AC$10,12,FALSE),"")</f>
        <v/>
      </c>
      <c r="F66" s="52">
        <f t="shared" si="46"/>
        <v>0</v>
      </c>
      <c r="G66" s="52">
        <f t="shared" si="26"/>
        <v>0</v>
      </c>
      <c r="H66" s="52">
        <f t="shared" si="16"/>
        <v>0</v>
      </c>
      <c r="I66" s="52">
        <f t="shared" si="27"/>
        <v>0</v>
      </c>
      <c r="J66" s="52">
        <f t="shared" si="17"/>
        <v>0</v>
      </c>
      <c r="K66" s="52">
        <f t="shared" si="18"/>
        <v>0</v>
      </c>
      <c r="L66" s="52">
        <f t="shared" si="19"/>
        <v>0</v>
      </c>
      <c r="M66" s="53">
        <f t="shared" si="20"/>
        <v>0</v>
      </c>
      <c r="N66">
        <f t="shared" si="47"/>
        <v>0</v>
      </c>
      <c r="O66">
        <f t="shared" si="21"/>
        <v>0</v>
      </c>
      <c r="P66">
        <f t="shared" si="22"/>
        <v>0</v>
      </c>
      <c r="Q66">
        <f t="shared" si="23"/>
        <v>0</v>
      </c>
      <c r="R66">
        <f t="shared" si="24"/>
        <v>0</v>
      </c>
      <c r="S66">
        <f t="shared" si="25"/>
        <v>0</v>
      </c>
      <c r="T66" s="40" t="str">
        <f t="shared" si="28"/>
        <v/>
      </c>
      <c r="U66" t="str">
        <f t="shared" si="29"/>
        <v/>
      </c>
      <c r="V66" t="str">
        <f t="shared" si="30"/>
        <v/>
      </c>
      <c r="W66" s="43" t="str">
        <f t="shared" si="31"/>
        <v/>
      </c>
      <c r="Y66" s="147" t="str">
        <f t="shared" si="32"/>
        <v/>
      </c>
      <c r="Z66" s="147" t="str">
        <f t="shared" si="33"/>
        <v/>
      </c>
      <c r="AA66" s="147" t="str">
        <f t="shared" si="34"/>
        <v/>
      </c>
      <c r="AB66" s="147" t="str">
        <f t="shared" si="35"/>
        <v/>
      </c>
      <c r="AC66" s="147" t="str">
        <f t="shared" si="36"/>
        <v/>
      </c>
      <c r="AD66" s="147" t="str">
        <f t="shared" si="37"/>
        <v/>
      </c>
      <c r="AE66" s="147" t="str">
        <f t="shared" si="38"/>
        <v/>
      </c>
      <c r="AF66" s="147" t="str">
        <f t="shared" si="39"/>
        <v/>
      </c>
      <c r="AG66" s="147" t="str">
        <f t="shared" si="40"/>
        <v/>
      </c>
      <c r="AH66" s="147" t="str">
        <f t="shared" si="41"/>
        <v/>
      </c>
      <c r="AI66" s="147" t="str">
        <f t="shared" si="42"/>
        <v/>
      </c>
      <c r="AJ66" s="147" t="str">
        <f t="shared" si="43"/>
        <v/>
      </c>
      <c r="AK66" s="147" t="str">
        <f t="shared" si="44"/>
        <v/>
      </c>
      <c r="AL66" s="147" t="str">
        <f t="shared" si="45"/>
        <v/>
      </c>
    </row>
    <row r="67" spans="1:38" x14ac:dyDescent="0.3">
      <c r="A67" s="196"/>
      <c r="C67" s="200"/>
      <c r="D67" s="201"/>
      <c r="E67" t="str">
        <f>_xlfn.IFNA(VLOOKUP(C67,'Te gebruiken meststoffen'!$R$3:$AC$10,12,FALSE),"")</f>
        <v/>
      </c>
      <c r="F67" s="52">
        <f t="shared" si="46"/>
        <v>0</v>
      </c>
      <c r="G67" s="52">
        <f t="shared" si="26"/>
        <v>0</v>
      </c>
      <c r="H67" s="52">
        <f t="shared" si="16"/>
        <v>0</v>
      </c>
      <c r="I67" s="52">
        <f t="shared" si="27"/>
        <v>0</v>
      </c>
      <c r="J67" s="52">
        <f t="shared" si="17"/>
        <v>0</v>
      </c>
      <c r="K67" s="52">
        <f t="shared" si="18"/>
        <v>0</v>
      </c>
      <c r="L67" s="52">
        <f t="shared" si="19"/>
        <v>0</v>
      </c>
      <c r="M67" s="53">
        <f t="shared" si="20"/>
        <v>0</v>
      </c>
      <c r="N67">
        <f t="shared" si="47"/>
        <v>0</v>
      </c>
      <c r="O67">
        <f t="shared" si="21"/>
        <v>0</v>
      </c>
      <c r="P67">
        <f t="shared" si="22"/>
        <v>0</v>
      </c>
      <c r="Q67">
        <f t="shared" si="23"/>
        <v>0</v>
      </c>
      <c r="R67">
        <f t="shared" si="24"/>
        <v>0</v>
      </c>
      <c r="S67">
        <f t="shared" si="25"/>
        <v>0</v>
      </c>
      <c r="T67" s="40" t="str">
        <f t="shared" si="28"/>
        <v/>
      </c>
      <c r="U67" t="str">
        <f t="shared" si="29"/>
        <v/>
      </c>
      <c r="V67" t="str">
        <f>IF(D67="","",D67*(VLOOKUP(C67,$C$45:$M$58,11,FALSE)))</f>
        <v/>
      </c>
      <c r="W67" s="43" t="str">
        <f t="shared" si="31"/>
        <v/>
      </c>
      <c r="Y67" s="147" t="str">
        <f t="shared" si="32"/>
        <v/>
      </c>
      <c r="Z67" s="147" t="str">
        <f t="shared" si="33"/>
        <v/>
      </c>
      <c r="AA67" s="147" t="str">
        <f t="shared" si="34"/>
        <v/>
      </c>
      <c r="AB67" s="147" t="str">
        <f t="shared" si="35"/>
        <v/>
      </c>
      <c r="AC67" s="147" t="str">
        <f t="shared" si="36"/>
        <v/>
      </c>
      <c r="AD67" s="147" t="str">
        <f t="shared" si="37"/>
        <v/>
      </c>
      <c r="AE67" s="147" t="str">
        <f t="shared" si="38"/>
        <v/>
      </c>
      <c r="AF67" s="147" t="str">
        <f t="shared" si="39"/>
        <v/>
      </c>
      <c r="AG67" s="147" t="str">
        <f t="shared" si="40"/>
        <v/>
      </c>
      <c r="AH67" s="147" t="str">
        <f t="shared" si="41"/>
        <v/>
      </c>
      <c r="AI67" s="147" t="str">
        <f t="shared" si="42"/>
        <v/>
      </c>
      <c r="AJ67" s="147" t="str">
        <f t="shared" si="43"/>
        <v/>
      </c>
      <c r="AK67" s="147" t="str">
        <f t="shared" si="44"/>
        <v/>
      </c>
      <c r="AL67" s="147" t="str">
        <f t="shared" si="45"/>
        <v/>
      </c>
    </row>
    <row r="68" spans="1:38" ht="15" thickBot="1" x14ac:dyDescent="0.35">
      <c r="A68" s="197"/>
      <c r="C68" s="202"/>
      <c r="D68" s="203"/>
      <c r="E68" s="38" t="str">
        <f>_xlfn.IFNA(VLOOKUP(C68,'Te gebruiken meststoffen'!$R$3:$AC$10,12,FALSE),"")</f>
        <v/>
      </c>
      <c r="F68" s="54">
        <f t="shared" si="46"/>
        <v>0</v>
      </c>
      <c r="G68" s="54">
        <f t="shared" si="26"/>
        <v>0</v>
      </c>
      <c r="H68" s="54">
        <f t="shared" si="16"/>
        <v>0</v>
      </c>
      <c r="I68" s="54">
        <f t="shared" si="27"/>
        <v>0</v>
      </c>
      <c r="J68" s="54">
        <f t="shared" si="17"/>
        <v>0</v>
      </c>
      <c r="K68" s="54">
        <f t="shared" si="18"/>
        <v>0</v>
      </c>
      <c r="L68" s="54">
        <f t="shared" si="19"/>
        <v>0</v>
      </c>
      <c r="M68" s="55">
        <f t="shared" si="20"/>
        <v>0</v>
      </c>
      <c r="N68">
        <f t="shared" si="47"/>
        <v>0</v>
      </c>
      <c r="O68">
        <f t="shared" si="21"/>
        <v>0</v>
      </c>
      <c r="P68">
        <f t="shared" si="22"/>
        <v>0</v>
      </c>
      <c r="Q68">
        <f t="shared" si="23"/>
        <v>0</v>
      </c>
      <c r="R68">
        <f t="shared" si="24"/>
        <v>0</v>
      </c>
      <c r="S68">
        <f t="shared" si="25"/>
        <v>0</v>
      </c>
      <c r="T68" s="37" t="str">
        <f t="shared" si="28"/>
        <v/>
      </c>
      <c r="U68" s="38" t="str">
        <f t="shared" si="29"/>
        <v/>
      </c>
      <c r="V68" s="38" t="str">
        <f t="shared" si="30"/>
        <v/>
      </c>
      <c r="W68" s="39" t="str">
        <f t="shared" si="31"/>
        <v/>
      </c>
      <c r="Y68" s="147" t="str">
        <f t="shared" si="32"/>
        <v/>
      </c>
      <c r="Z68" s="147" t="str">
        <f t="shared" si="33"/>
        <v/>
      </c>
      <c r="AA68" s="147" t="str">
        <f t="shared" si="34"/>
        <v/>
      </c>
      <c r="AB68" s="147" t="str">
        <f t="shared" si="35"/>
        <v/>
      </c>
      <c r="AC68" s="147" t="str">
        <f t="shared" si="36"/>
        <v/>
      </c>
      <c r="AD68" s="147" t="str">
        <f t="shared" si="37"/>
        <v/>
      </c>
      <c r="AE68" s="147" t="str">
        <f t="shared" si="38"/>
        <v/>
      </c>
      <c r="AF68" s="147" t="str">
        <f t="shared" si="39"/>
        <v/>
      </c>
      <c r="AG68" s="147" t="str">
        <f t="shared" si="40"/>
        <v/>
      </c>
      <c r="AH68" s="147" t="str">
        <f t="shared" si="41"/>
        <v/>
      </c>
      <c r="AI68" s="147" t="str">
        <f t="shared" si="42"/>
        <v/>
      </c>
      <c r="AJ68" s="147" t="str">
        <f t="shared" si="43"/>
        <v/>
      </c>
      <c r="AK68" s="147" t="str">
        <f t="shared" si="44"/>
        <v/>
      </c>
      <c r="AL68" s="147" t="str">
        <f t="shared" si="45"/>
        <v/>
      </c>
    </row>
    <row r="69" spans="1:38" ht="15" thickBot="1" x14ac:dyDescent="0.35">
      <c r="C69" s="37"/>
      <c r="D69" s="38"/>
      <c r="E69" s="109" t="s">
        <v>504</v>
      </c>
      <c r="F69" s="110">
        <f t="shared" ref="F69:M69" si="48">SUM(F63:F68)</f>
        <v>0</v>
      </c>
      <c r="G69" s="110">
        <f>SUM(G63:G68)</f>
        <v>0</v>
      </c>
      <c r="H69" s="110">
        <f t="shared" si="48"/>
        <v>0</v>
      </c>
      <c r="I69" s="110">
        <f t="shared" si="48"/>
        <v>0</v>
      </c>
      <c r="J69" s="110">
        <f t="shared" si="48"/>
        <v>0</v>
      </c>
      <c r="K69" s="110">
        <f t="shared" si="48"/>
        <v>0</v>
      </c>
      <c r="L69" s="110">
        <f t="shared" si="48"/>
        <v>0</v>
      </c>
      <c r="M69" s="111">
        <f t="shared" si="48"/>
        <v>0</v>
      </c>
      <c r="N69" s="60">
        <f>SUM(O63:O68)</f>
        <v>0</v>
      </c>
      <c r="S69">
        <f>SUM(S63:S68)</f>
        <v>0</v>
      </c>
      <c r="T69" s="138"/>
      <c r="U69" s="139"/>
      <c r="V69" s="139">
        <f>SUM(V63:V68)</f>
        <v>0</v>
      </c>
      <c r="W69" s="140">
        <f>SUM(W63:W68)</f>
        <v>0</v>
      </c>
      <c r="Y69" s="147"/>
      <c r="Z69" s="147"/>
      <c r="AA69" s="147"/>
      <c r="AB69" s="147"/>
      <c r="AC69" s="147"/>
      <c r="AD69" s="147"/>
      <c r="AE69" s="147"/>
      <c r="AF69" s="147"/>
      <c r="AG69" s="147"/>
      <c r="AH69" s="147"/>
      <c r="AI69" s="147"/>
      <c r="AJ69" s="147"/>
      <c r="AK69" s="147"/>
      <c r="AL69" s="147"/>
    </row>
    <row r="70" spans="1:38" ht="15" thickBot="1" x14ac:dyDescent="0.35">
      <c r="A70" s="128" t="s">
        <v>611</v>
      </c>
      <c r="C70" s="115" t="s">
        <v>499</v>
      </c>
      <c r="D70" s="113" t="s">
        <v>619</v>
      </c>
      <c r="E70" s="76"/>
      <c r="F70" s="76"/>
      <c r="G70" s="146">
        <f>N77-SUM(G71:G76)</f>
        <v>0</v>
      </c>
      <c r="H70" s="76"/>
      <c r="I70" s="76"/>
      <c r="J70" s="76"/>
      <c r="K70" s="76"/>
      <c r="L70" s="76"/>
      <c r="M70" s="77"/>
      <c r="S70">
        <f>SUM(S71:S76)</f>
        <v>0</v>
      </c>
      <c r="T70" s="75"/>
      <c r="U70" s="76"/>
      <c r="V70" s="76"/>
      <c r="W70" s="77"/>
      <c r="Y70" s="147"/>
      <c r="Z70" s="147"/>
      <c r="AA70" s="147"/>
      <c r="AB70" s="147"/>
      <c r="AC70" s="147"/>
      <c r="AD70" s="147"/>
      <c r="AE70" s="147"/>
      <c r="AF70" s="147"/>
      <c r="AG70" s="147"/>
      <c r="AH70" s="147"/>
      <c r="AI70" s="147"/>
      <c r="AJ70" s="147"/>
      <c r="AK70" s="147"/>
      <c r="AL70" s="147"/>
    </row>
    <row r="71" spans="1:38" x14ac:dyDescent="0.3">
      <c r="A71" s="195"/>
      <c r="C71" s="198"/>
      <c r="D71" s="199"/>
      <c r="E71" s="35" t="str">
        <f>_xlfn.IFNA(VLOOKUP(C71,'Te gebruiken meststoffen'!$R$3:$AC$10,12,FALSE),"")</f>
        <v/>
      </c>
      <c r="F71" s="50">
        <f t="shared" ref="F71:F76" si="49">D71*(IFERROR(VLOOKUP(C71,$C$45:$Q$58,3,FALSE),0))</f>
        <v>0</v>
      </c>
      <c r="G71" s="50">
        <f>O71</f>
        <v>0</v>
      </c>
      <c r="H71" s="50">
        <f t="shared" ref="H71:H76" si="50">D71*(IFERROR(VLOOKUP(C71,$C$45:$Q$58,5,FALSE),0))</f>
        <v>0</v>
      </c>
      <c r="I71" s="50">
        <f t="shared" ref="I71:I76" si="51">D71*(IFERROR(VLOOKUP(C71,$C$45:$Q$58,6,FALSE),0))</f>
        <v>0</v>
      </c>
      <c r="J71" s="50">
        <f t="shared" ref="J71:J76" si="52">D71*(IFERROR(VLOOKUP(C71,$C$45:$Q$58,7,FALSE),0))</f>
        <v>0</v>
      </c>
      <c r="K71" s="50">
        <f t="shared" ref="K71:K76" si="53">D71*(IFERROR(VLOOKUP(C71,$C$45:$Q$58,8,FALSE),0))</f>
        <v>0</v>
      </c>
      <c r="L71" s="50">
        <f t="shared" ref="L71:L76" si="54">D71*(IFERROR(VLOOKUP(C71,$C$45:$Q$58,9,FALSE),0))</f>
        <v>0</v>
      </c>
      <c r="M71" s="51">
        <f t="shared" ref="M71:M76" si="55">D71*(IFERROR(VLOOKUP(C71,$C$45:$Q$58,10,FALSE),0))</f>
        <v>0</v>
      </c>
      <c r="N71">
        <f>O71+P63</f>
        <v>0</v>
      </c>
      <c r="O71">
        <f t="shared" ref="O71:O76" si="56">D71*(IFERROR(VLOOKUP(C71,$C$45:$Q$58,12,FALSE),0))</f>
        <v>0</v>
      </c>
      <c r="P71">
        <f t="shared" ref="P71:P76" si="57">D71*(IFERROR(VLOOKUP(C71,$C$45:$Q$58,13,FALSE),0))</f>
        <v>0</v>
      </c>
      <c r="Q71">
        <f t="shared" ref="Q71:Q76" si="58">D71*(IFERROR(VLOOKUP(C71,$C$45:$Q$58,14,FALSE),0))</f>
        <v>0</v>
      </c>
      <c r="R71">
        <f t="shared" ref="R71:R76" si="59">D71*(IFERROR(VLOOKUP(C71,$C$45:$Q$58,15,FALSE),0))</f>
        <v>0</v>
      </c>
      <c r="S71">
        <f t="shared" ref="S71:S76" si="60">IF(F71&gt;0,F71,G71)</f>
        <v>0</v>
      </c>
      <c r="T71" s="34" t="str">
        <f>IF(D71="","",D71*$D$9)</f>
        <v/>
      </c>
      <c r="U71" s="35" t="str">
        <f>IF(D71="","",E71)</f>
        <v/>
      </c>
      <c r="V71" s="35" t="str">
        <f>IF(D71="","",D71*(VLOOKUP(C71,$C$45:$M$58,11,FALSE)))</f>
        <v/>
      </c>
      <c r="W71" s="36" t="str">
        <f>IF(T71="","",T71*(VLOOKUP(C71,$C$45:$M$58,11,FALSE)))</f>
        <v/>
      </c>
      <c r="Y71" s="147" t="str">
        <f t="shared" si="32"/>
        <v/>
      </c>
      <c r="Z71" s="147" t="str">
        <f t="shared" si="33"/>
        <v/>
      </c>
      <c r="AA71" s="147" t="str">
        <f t="shared" si="34"/>
        <v/>
      </c>
      <c r="AB71" s="147" t="str">
        <f t="shared" si="35"/>
        <v/>
      </c>
      <c r="AC71" s="147" t="str">
        <f t="shared" si="36"/>
        <v/>
      </c>
      <c r="AD71" s="147" t="str">
        <f t="shared" si="37"/>
        <v/>
      </c>
      <c r="AE71" s="147" t="str">
        <f t="shared" si="38"/>
        <v/>
      </c>
      <c r="AF71" s="147" t="str">
        <f t="shared" si="39"/>
        <v/>
      </c>
      <c r="AG71" s="147" t="str">
        <f t="shared" si="40"/>
        <v/>
      </c>
      <c r="AH71" s="147" t="str">
        <f t="shared" si="41"/>
        <v/>
      </c>
      <c r="AI71" s="147" t="str">
        <f t="shared" si="42"/>
        <v/>
      </c>
      <c r="AJ71" s="147" t="str">
        <f t="shared" si="43"/>
        <v/>
      </c>
      <c r="AK71" s="147" t="str">
        <f t="shared" si="44"/>
        <v/>
      </c>
      <c r="AL71" s="147" t="str">
        <f t="shared" si="45"/>
        <v/>
      </c>
    </row>
    <row r="72" spans="1:38" x14ac:dyDescent="0.3">
      <c r="A72" s="196"/>
      <c r="C72" s="200"/>
      <c r="D72" s="201"/>
      <c r="E72" t="str">
        <f>_xlfn.IFNA(VLOOKUP(C72,'Te gebruiken meststoffen'!$R$3:$AC$10,12,FALSE),"")</f>
        <v/>
      </c>
      <c r="F72" s="52">
        <f t="shared" si="49"/>
        <v>0</v>
      </c>
      <c r="G72" s="52">
        <f t="shared" ref="G72:G76" si="61">O72</f>
        <v>0</v>
      </c>
      <c r="H72" s="52">
        <f t="shared" si="50"/>
        <v>0</v>
      </c>
      <c r="I72" s="52">
        <f t="shared" si="51"/>
        <v>0</v>
      </c>
      <c r="J72" s="52">
        <f t="shared" si="52"/>
        <v>0</v>
      </c>
      <c r="K72" s="52">
        <f t="shared" si="53"/>
        <v>0</v>
      </c>
      <c r="L72" s="52">
        <f t="shared" si="54"/>
        <v>0</v>
      </c>
      <c r="M72" s="53">
        <f t="shared" si="55"/>
        <v>0</v>
      </c>
      <c r="N72">
        <f t="shared" ref="N72:N76" si="62">O72+P64</f>
        <v>0</v>
      </c>
      <c r="O72">
        <f t="shared" si="56"/>
        <v>0</v>
      </c>
      <c r="P72">
        <f t="shared" si="57"/>
        <v>0</v>
      </c>
      <c r="Q72">
        <f t="shared" si="58"/>
        <v>0</v>
      </c>
      <c r="R72">
        <f t="shared" si="59"/>
        <v>0</v>
      </c>
      <c r="S72">
        <f t="shared" si="60"/>
        <v>0</v>
      </c>
      <c r="T72" s="40" t="str">
        <f t="shared" ref="T72:T76" si="63">IF(D72="","",D72*$D$9)</f>
        <v/>
      </c>
      <c r="U72" t="str">
        <f t="shared" ref="U72:U76" si="64">IF(D72="","",E72)</f>
        <v/>
      </c>
      <c r="V72" t="str">
        <f t="shared" ref="V72:V76" si="65">IF(D72="","",D72*(VLOOKUP(C72,$C$45:$M$58,11,FALSE)))</f>
        <v/>
      </c>
      <c r="W72" s="43" t="str">
        <f t="shared" ref="W72:W76" si="66">IF(T72="","",T72*(VLOOKUP(C72,$C$45:$M$58,11,FALSE)))</f>
        <v/>
      </c>
      <c r="Y72" s="147" t="str">
        <f t="shared" si="32"/>
        <v/>
      </c>
      <c r="Z72" s="147" t="str">
        <f t="shared" si="33"/>
        <v/>
      </c>
      <c r="AA72" s="147" t="str">
        <f t="shared" si="34"/>
        <v/>
      </c>
      <c r="AB72" s="147" t="str">
        <f t="shared" si="35"/>
        <v/>
      </c>
      <c r="AC72" s="147" t="str">
        <f t="shared" si="36"/>
        <v/>
      </c>
      <c r="AD72" s="147" t="str">
        <f t="shared" si="37"/>
        <v/>
      </c>
      <c r="AE72" s="147" t="str">
        <f t="shared" si="38"/>
        <v/>
      </c>
      <c r="AF72" s="147" t="str">
        <f t="shared" si="39"/>
        <v/>
      </c>
      <c r="AG72" s="147" t="str">
        <f t="shared" si="40"/>
        <v/>
      </c>
      <c r="AH72" s="147" t="str">
        <f t="shared" si="41"/>
        <v/>
      </c>
      <c r="AI72" s="147" t="str">
        <f t="shared" si="42"/>
        <v/>
      </c>
      <c r="AJ72" s="147" t="str">
        <f t="shared" si="43"/>
        <v/>
      </c>
      <c r="AK72" s="147" t="str">
        <f t="shared" si="44"/>
        <v/>
      </c>
      <c r="AL72" s="147" t="str">
        <f t="shared" si="45"/>
        <v/>
      </c>
    </row>
    <row r="73" spans="1:38" x14ac:dyDescent="0.3">
      <c r="A73" s="196"/>
      <c r="C73" s="200"/>
      <c r="D73" s="201"/>
      <c r="E73" t="str">
        <f>_xlfn.IFNA(VLOOKUP(C73,'Te gebruiken meststoffen'!$R$3:$AC$10,12,FALSE),"")</f>
        <v/>
      </c>
      <c r="F73" s="52">
        <f t="shared" si="49"/>
        <v>0</v>
      </c>
      <c r="G73" s="52">
        <f t="shared" si="61"/>
        <v>0</v>
      </c>
      <c r="H73" s="52">
        <f t="shared" si="50"/>
        <v>0</v>
      </c>
      <c r="I73" s="52">
        <f t="shared" si="51"/>
        <v>0</v>
      </c>
      <c r="J73" s="52">
        <f t="shared" si="52"/>
        <v>0</v>
      </c>
      <c r="K73" s="52">
        <f t="shared" si="53"/>
        <v>0</v>
      </c>
      <c r="L73" s="52">
        <f t="shared" si="54"/>
        <v>0</v>
      </c>
      <c r="M73" s="53">
        <f t="shared" si="55"/>
        <v>0</v>
      </c>
      <c r="N73">
        <f t="shared" si="62"/>
        <v>0</v>
      </c>
      <c r="O73">
        <f t="shared" si="56"/>
        <v>0</v>
      </c>
      <c r="P73">
        <f t="shared" si="57"/>
        <v>0</v>
      </c>
      <c r="Q73">
        <f t="shared" si="58"/>
        <v>0</v>
      </c>
      <c r="R73">
        <f t="shared" si="59"/>
        <v>0</v>
      </c>
      <c r="S73">
        <f t="shared" si="60"/>
        <v>0</v>
      </c>
      <c r="T73" s="40" t="str">
        <f t="shared" si="63"/>
        <v/>
      </c>
      <c r="U73" t="str">
        <f t="shared" si="64"/>
        <v/>
      </c>
      <c r="V73" t="str">
        <f t="shared" si="65"/>
        <v/>
      </c>
      <c r="W73" s="43" t="str">
        <f t="shared" si="66"/>
        <v/>
      </c>
      <c r="Y73" s="147" t="str">
        <f t="shared" si="32"/>
        <v/>
      </c>
      <c r="Z73" s="147" t="str">
        <f t="shared" si="33"/>
        <v/>
      </c>
      <c r="AA73" s="147" t="str">
        <f t="shared" si="34"/>
        <v/>
      </c>
      <c r="AB73" s="147" t="str">
        <f t="shared" si="35"/>
        <v/>
      </c>
      <c r="AC73" s="147" t="str">
        <f t="shared" si="36"/>
        <v/>
      </c>
      <c r="AD73" s="147" t="str">
        <f t="shared" si="37"/>
        <v/>
      </c>
      <c r="AE73" s="147" t="str">
        <f t="shared" si="38"/>
        <v/>
      </c>
      <c r="AF73" s="147" t="str">
        <f t="shared" si="39"/>
        <v/>
      </c>
      <c r="AG73" s="147" t="str">
        <f t="shared" si="40"/>
        <v/>
      </c>
      <c r="AH73" s="147" t="str">
        <f t="shared" si="41"/>
        <v/>
      </c>
      <c r="AI73" s="147" t="str">
        <f t="shared" si="42"/>
        <v/>
      </c>
      <c r="AJ73" s="147" t="str">
        <f t="shared" si="43"/>
        <v/>
      </c>
      <c r="AK73" s="147" t="str">
        <f t="shared" si="44"/>
        <v/>
      </c>
      <c r="AL73" s="147" t="str">
        <f t="shared" si="45"/>
        <v/>
      </c>
    </row>
    <row r="74" spans="1:38" x14ac:dyDescent="0.3">
      <c r="A74" s="196"/>
      <c r="C74" s="200"/>
      <c r="D74" s="201"/>
      <c r="E74" t="str">
        <f>_xlfn.IFNA(VLOOKUP(C74,'Te gebruiken meststoffen'!$R$3:$AC$10,12,FALSE),"")</f>
        <v/>
      </c>
      <c r="F74" s="52">
        <f t="shared" si="49"/>
        <v>0</v>
      </c>
      <c r="G74" s="52">
        <f t="shared" si="61"/>
        <v>0</v>
      </c>
      <c r="H74" s="52">
        <f t="shared" si="50"/>
        <v>0</v>
      </c>
      <c r="I74" s="52">
        <f t="shared" si="51"/>
        <v>0</v>
      </c>
      <c r="J74" s="52">
        <f t="shared" si="52"/>
        <v>0</v>
      </c>
      <c r="K74" s="52">
        <f t="shared" si="53"/>
        <v>0</v>
      </c>
      <c r="L74" s="52">
        <f t="shared" si="54"/>
        <v>0</v>
      </c>
      <c r="M74" s="53">
        <f t="shared" si="55"/>
        <v>0</v>
      </c>
      <c r="N74">
        <f t="shared" si="62"/>
        <v>0</v>
      </c>
      <c r="O74">
        <f t="shared" si="56"/>
        <v>0</v>
      </c>
      <c r="P74">
        <f t="shared" si="57"/>
        <v>0</v>
      </c>
      <c r="Q74">
        <f t="shared" si="58"/>
        <v>0</v>
      </c>
      <c r="R74">
        <f t="shared" si="59"/>
        <v>0</v>
      </c>
      <c r="S74">
        <f t="shared" si="60"/>
        <v>0</v>
      </c>
      <c r="T74" s="40" t="str">
        <f t="shared" si="63"/>
        <v/>
      </c>
      <c r="U74" t="str">
        <f t="shared" si="64"/>
        <v/>
      </c>
      <c r="V74" t="str">
        <f t="shared" si="65"/>
        <v/>
      </c>
      <c r="W74" s="43" t="str">
        <f t="shared" si="66"/>
        <v/>
      </c>
      <c r="Y74" s="147" t="str">
        <f t="shared" si="32"/>
        <v/>
      </c>
      <c r="Z74" s="147" t="str">
        <f t="shared" si="33"/>
        <v/>
      </c>
      <c r="AA74" s="147" t="str">
        <f t="shared" si="34"/>
        <v/>
      </c>
      <c r="AB74" s="147" t="str">
        <f t="shared" si="35"/>
        <v/>
      </c>
      <c r="AC74" s="147" t="str">
        <f t="shared" si="36"/>
        <v/>
      </c>
      <c r="AD74" s="147" t="str">
        <f t="shared" si="37"/>
        <v/>
      </c>
      <c r="AE74" s="147" t="str">
        <f t="shared" si="38"/>
        <v/>
      </c>
      <c r="AF74" s="147" t="str">
        <f t="shared" si="39"/>
        <v/>
      </c>
      <c r="AG74" s="147" t="str">
        <f t="shared" si="40"/>
        <v/>
      </c>
      <c r="AH74" s="147" t="str">
        <f t="shared" si="41"/>
        <v/>
      </c>
      <c r="AI74" s="147" t="str">
        <f t="shared" si="42"/>
        <v/>
      </c>
      <c r="AJ74" s="147" t="str">
        <f t="shared" si="43"/>
        <v/>
      </c>
      <c r="AK74" s="147" t="str">
        <f t="shared" si="44"/>
        <v/>
      </c>
      <c r="AL74" s="147" t="str">
        <f t="shared" si="45"/>
        <v/>
      </c>
    </row>
    <row r="75" spans="1:38" x14ac:dyDescent="0.3">
      <c r="A75" s="196"/>
      <c r="C75" s="200"/>
      <c r="D75" s="201"/>
      <c r="E75" t="str">
        <f>_xlfn.IFNA(VLOOKUP(C75,'Te gebruiken meststoffen'!$R$3:$AC$10,12,FALSE),"")</f>
        <v/>
      </c>
      <c r="F75" s="52">
        <f t="shared" si="49"/>
        <v>0</v>
      </c>
      <c r="G75" s="52">
        <f t="shared" si="61"/>
        <v>0</v>
      </c>
      <c r="H75" s="52">
        <f t="shared" si="50"/>
        <v>0</v>
      </c>
      <c r="I75" s="52">
        <f t="shared" si="51"/>
        <v>0</v>
      </c>
      <c r="J75" s="52">
        <f t="shared" si="52"/>
        <v>0</v>
      </c>
      <c r="K75" s="52">
        <f t="shared" si="53"/>
        <v>0</v>
      </c>
      <c r="L75" s="52">
        <f t="shared" si="54"/>
        <v>0</v>
      </c>
      <c r="M75" s="53">
        <f t="shared" si="55"/>
        <v>0</v>
      </c>
      <c r="N75">
        <f t="shared" si="62"/>
        <v>0</v>
      </c>
      <c r="O75">
        <f t="shared" si="56"/>
        <v>0</v>
      </c>
      <c r="P75">
        <f t="shared" si="57"/>
        <v>0</v>
      </c>
      <c r="Q75">
        <f t="shared" si="58"/>
        <v>0</v>
      </c>
      <c r="R75">
        <f t="shared" si="59"/>
        <v>0</v>
      </c>
      <c r="S75">
        <f t="shared" si="60"/>
        <v>0</v>
      </c>
      <c r="T75" s="40" t="str">
        <f t="shared" si="63"/>
        <v/>
      </c>
      <c r="U75" t="str">
        <f t="shared" si="64"/>
        <v/>
      </c>
      <c r="V75" t="str">
        <f t="shared" si="65"/>
        <v/>
      </c>
      <c r="W75" s="43" t="str">
        <f t="shared" si="66"/>
        <v/>
      </c>
      <c r="Y75" s="147" t="str">
        <f t="shared" si="32"/>
        <v/>
      </c>
      <c r="Z75" s="147" t="str">
        <f t="shared" si="33"/>
        <v/>
      </c>
      <c r="AA75" s="147" t="str">
        <f t="shared" si="34"/>
        <v/>
      </c>
      <c r="AB75" s="147" t="str">
        <f t="shared" si="35"/>
        <v/>
      </c>
      <c r="AC75" s="147" t="str">
        <f t="shared" si="36"/>
        <v/>
      </c>
      <c r="AD75" s="147" t="str">
        <f t="shared" si="37"/>
        <v/>
      </c>
      <c r="AE75" s="147" t="str">
        <f t="shared" si="38"/>
        <v/>
      </c>
      <c r="AF75" s="147" t="str">
        <f t="shared" si="39"/>
        <v/>
      </c>
      <c r="AG75" s="147" t="str">
        <f t="shared" si="40"/>
        <v/>
      </c>
      <c r="AH75" s="147" t="str">
        <f t="shared" si="41"/>
        <v/>
      </c>
      <c r="AI75" s="147" t="str">
        <f t="shared" si="42"/>
        <v/>
      </c>
      <c r="AJ75" s="147" t="str">
        <f t="shared" si="43"/>
        <v/>
      </c>
      <c r="AK75" s="147" t="str">
        <f t="shared" si="44"/>
        <v/>
      </c>
      <c r="AL75" s="147" t="str">
        <f t="shared" si="45"/>
        <v/>
      </c>
    </row>
    <row r="76" spans="1:38" ht="15" thickBot="1" x14ac:dyDescent="0.35">
      <c r="A76" s="197"/>
      <c r="C76" s="200"/>
      <c r="D76" s="201"/>
      <c r="E76" t="str">
        <f>_xlfn.IFNA(VLOOKUP(C76,'Te gebruiken meststoffen'!$R$3:$AC$10,12,FALSE),"")</f>
        <v/>
      </c>
      <c r="F76" s="52">
        <f t="shared" si="49"/>
        <v>0</v>
      </c>
      <c r="G76" s="52">
        <f t="shared" si="61"/>
        <v>0</v>
      </c>
      <c r="H76" s="52">
        <f t="shared" si="50"/>
        <v>0</v>
      </c>
      <c r="I76" s="52">
        <f t="shared" si="51"/>
        <v>0</v>
      </c>
      <c r="J76" s="52">
        <f t="shared" si="52"/>
        <v>0</v>
      </c>
      <c r="K76" s="52">
        <f t="shared" si="53"/>
        <v>0</v>
      </c>
      <c r="L76" s="52">
        <f t="shared" si="54"/>
        <v>0</v>
      </c>
      <c r="M76" s="53">
        <f t="shared" si="55"/>
        <v>0</v>
      </c>
      <c r="N76">
        <f t="shared" si="62"/>
        <v>0</v>
      </c>
      <c r="O76">
        <f t="shared" si="56"/>
        <v>0</v>
      </c>
      <c r="P76">
        <f t="shared" si="57"/>
        <v>0</v>
      </c>
      <c r="Q76">
        <f t="shared" si="58"/>
        <v>0</v>
      </c>
      <c r="R76">
        <f t="shared" si="59"/>
        <v>0</v>
      </c>
      <c r="S76">
        <f t="shared" si="60"/>
        <v>0</v>
      </c>
      <c r="T76" s="134" t="str">
        <f t="shared" si="63"/>
        <v/>
      </c>
      <c r="U76" s="131" t="str">
        <f t="shared" si="64"/>
        <v/>
      </c>
      <c r="V76" s="131" t="str">
        <f t="shared" si="65"/>
        <v/>
      </c>
      <c r="W76" s="135" t="str">
        <f t="shared" si="66"/>
        <v/>
      </c>
      <c r="Y76" s="147" t="str">
        <f t="shared" si="32"/>
        <v/>
      </c>
      <c r="Z76" s="147" t="str">
        <f t="shared" si="33"/>
        <v/>
      </c>
      <c r="AA76" s="147" t="str">
        <f t="shared" si="34"/>
        <v/>
      </c>
      <c r="AB76" s="147" t="str">
        <f t="shared" si="35"/>
        <v/>
      </c>
      <c r="AC76" s="147" t="str">
        <f t="shared" si="36"/>
        <v/>
      </c>
      <c r="AD76" s="147" t="str">
        <f t="shared" si="37"/>
        <v/>
      </c>
      <c r="AE76" s="147" t="str">
        <f t="shared" si="38"/>
        <v/>
      </c>
      <c r="AF76" s="147" t="str">
        <f t="shared" si="39"/>
        <v/>
      </c>
      <c r="AG76" s="147" t="str">
        <f t="shared" si="40"/>
        <v/>
      </c>
      <c r="AH76" s="147" t="str">
        <f t="shared" si="41"/>
        <v/>
      </c>
      <c r="AI76" s="147" t="str">
        <f t="shared" si="42"/>
        <v/>
      </c>
      <c r="AJ76" s="147" t="str">
        <f t="shared" si="43"/>
        <v/>
      </c>
      <c r="AK76" s="147" t="str">
        <f t="shared" si="44"/>
        <v/>
      </c>
      <c r="AL76" s="147" t="str">
        <f t="shared" si="45"/>
        <v/>
      </c>
    </row>
    <row r="77" spans="1:38" ht="15" thickBot="1" x14ac:dyDescent="0.35">
      <c r="C77" s="75"/>
      <c r="D77" s="76"/>
      <c r="E77" s="56" t="s">
        <v>505</v>
      </c>
      <c r="F77" s="79">
        <f t="shared" ref="F77:M77" si="67">SUM(F71:F76)</f>
        <v>0</v>
      </c>
      <c r="G77" s="79">
        <f>SUM(G70:G76)</f>
        <v>0</v>
      </c>
      <c r="H77" s="79">
        <f t="shared" si="67"/>
        <v>0</v>
      </c>
      <c r="I77" s="79">
        <f t="shared" si="67"/>
        <v>0</v>
      </c>
      <c r="J77" s="79">
        <f t="shared" si="67"/>
        <v>0</v>
      </c>
      <c r="K77" s="79">
        <f t="shared" si="67"/>
        <v>0</v>
      </c>
      <c r="L77" s="79">
        <f t="shared" si="67"/>
        <v>0</v>
      </c>
      <c r="M77" s="112">
        <f t="shared" si="67"/>
        <v>0</v>
      </c>
      <c r="N77" s="60">
        <f>SUM(P63:P68,O71:O76)</f>
        <v>0</v>
      </c>
      <c r="T77" s="138"/>
      <c r="U77" s="139"/>
      <c r="V77" s="139">
        <f>SUM(V71:V76)</f>
        <v>0</v>
      </c>
      <c r="W77" s="140">
        <f>SUM(W71:W76)</f>
        <v>0</v>
      </c>
      <c r="Y77" s="147"/>
      <c r="Z77" s="147"/>
      <c r="AA77" s="147"/>
      <c r="AB77" s="147"/>
      <c r="AC77" s="147"/>
      <c r="AD77" s="147"/>
      <c r="AE77" s="147"/>
      <c r="AF77" s="147"/>
      <c r="AG77" s="147"/>
      <c r="AH77" s="147"/>
      <c r="AI77" s="147"/>
      <c r="AJ77" s="147"/>
      <c r="AK77" s="147"/>
      <c r="AL77" s="147"/>
    </row>
    <row r="78" spans="1:38" ht="15" thickBot="1" x14ac:dyDescent="0.35">
      <c r="A78" s="128" t="s">
        <v>611</v>
      </c>
      <c r="C78" s="128" t="s">
        <v>500</v>
      </c>
      <c r="D78" s="76" t="s">
        <v>620</v>
      </c>
      <c r="E78" s="76"/>
      <c r="F78" s="76"/>
      <c r="G78" s="146">
        <f>N85-SUM(G79:G84)</f>
        <v>0</v>
      </c>
      <c r="H78" s="76"/>
      <c r="I78" s="76"/>
      <c r="J78" s="76"/>
      <c r="K78" s="76"/>
      <c r="L78" s="76"/>
      <c r="M78" s="77"/>
      <c r="S78">
        <f>SUM(S79:S84)</f>
        <v>0</v>
      </c>
      <c r="T78" s="75"/>
      <c r="U78" s="76"/>
      <c r="V78" s="76"/>
      <c r="W78" s="77"/>
      <c r="Y78" s="147"/>
      <c r="Z78" s="147"/>
      <c r="AA78" s="147"/>
      <c r="AB78" s="147"/>
      <c r="AC78" s="147"/>
      <c r="AD78" s="147"/>
      <c r="AE78" s="147"/>
      <c r="AF78" s="147"/>
      <c r="AG78" s="147"/>
      <c r="AH78" s="147"/>
      <c r="AI78" s="147"/>
      <c r="AJ78" s="147"/>
      <c r="AK78" s="147"/>
      <c r="AL78" s="147"/>
    </row>
    <row r="79" spans="1:38" x14ac:dyDescent="0.3">
      <c r="A79" s="195"/>
      <c r="C79" s="198"/>
      <c r="D79" s="199"/>
      <c r="E79" s="35" t="str">
        <f>_xlfn.IFNA(VLOOKUP(C79,'Te gebruiken meststoffen'!$R$3:$AC$10,12,FALSE),"")</f>
        <v/>
      </c>
      <c r="F79" s="50">
        <f t="shared" ref="F79:F84" si="68">D79*(IFERROR(VLOOKUP(C79,$C$45:$Q$58,3,FALSE),0))</f>
        <v>0</v>
      </c>
      <c r="G79" s="50">
        <f>O79</f>
        <v>0</v>
      </c>
      <c r="H79" s="50">
        <f t="shared" ref="H79:H84" si="69">D79*(IFERROR(VLOOKUP(C79,$C$45:$Q$58,5,FALSE),0))</f>
        <v>0</v>
      </c>
      <c r="I79" s="50">
        <f t="shared" ref="I79:I84" si="70">D79*(IFERROR(VLOOKUP(C79,$C$45:$Q$58,6,FALSE),0))</f>
        <v>0</v>
      </c>
      <c r="J79" s="50">
        <f t="shared" ref="J79:J84" si="71">D79*(IFERROR(VLOOKUP(C79,$C$45:$Q$58,7,FALSE),0))</f>
        <v>0</v>
      </c>
      <c r="K79" s="50">
        <f t="shared" ref="K79:K84" si="72">D79*(IFERROR(VLOOKUP(C79,$C$45:$Q$58,8,FALSE),0))</f>
        <v>0</v>
      </c>
      <c r="L79" s="50">
        <f t="shared" ref="L79:L84" si="73">D79*(IFERROR(VLOOKUP(C79,$C$45:$Q$58,9,FALSE),0))</f>
        <v>0</v>
      </c>
      <c r="M79" s="51">
        <f t="shared" ref="M79:M84" si="74">D79*(IFERROR(VLOOKUP(C79,$C$45:$Q$58,10,FALSE),0))</f>
        <v>0</v>
      </c>
      <c r="N79">
        <f t="shared" ref="N79:N84" si="75">O79+P71+Q63</f>
        <v>0</v>
      </c>
      <c r="O79">
        <f t="shared" ref="O79:O84" si="76">D79*(IFERROR(VLOOKUP(C79,$C$45:$Q$58,12,FALSE),0))</f>
        <v>0</v>
      </c>
      <c r="P79">
        <f t="shared" ref="P79:P84" si="77">D79*(IFERROR(VLOOKUP(C79,$C$45:$Q$58,13,FALSE),0))</f>
        <v>0</v>
      </c>
      <c r="Q79">
        <f t="shared" ref="Q79:Q84" si="78">D79*(IFERROR(VLOOKUP(C79,$C$45:$Q$58,14,FALSE),0))</f>
        <v>0</v>
      </c>
      <c r="R79">
        <f t="shared" ref="R79:R84" si="79">D79*(IFERROR(VLOOKUP(C79,$C$45:$Q$58,15,FALSE),0))</f>
        <v>0</v>
      </c>
      <c r="S79">
        <f t="shared" ref="S79:S84" si="80">IF(F79&gt;0,F79,G79)</f>
        <v>0</v>
      </c>
      <c r="T79" s="34" t="str">
        <f>IF(D79="","",D79*$D$9)</f>
        <v/>
      </c>
      <c r="U79" s="35" t="str">
        <f>IF(D79="","",E79)</f>
        <v/>
      </c>
      <c r="V79" s="35" t="str">
        <f>IF(D79="","",D79*(VLOOKUP(C79,$C$45:$M$58,11,FALSE)))</f>
        <v/>
      </c>
      <c r="W79" s="36" t="str">
        <f>IF(T79="","",T79*(VLOOKUP(C79,$C$45:$M$58,11,FALSE)))</f>
        <v/>
      </c>
      <c r="Y79" s="147" t="str">
        <f t="shared" si="32"/>
        <v/>
      </c>
      <c r="Z79" s="147" t="str">
        <f t="shared" si="33"/>
        <v/>
      </c>
      <c r="AA79" s="147" t="str">
        <f t="shared" si="34"/>
        <v/>
      </c>
      <c r="AB79" s="147" t="str">
        <f t="shared" si="35"/>
        <v/>
      </c>
      <c r="AC79" s="147" t="str">
        <f t="shared" si="36"/>
        <v/>
      </c>
      <c r="AD79" s="147" t="str">
        <f t="shared" si="37"/>
        <v/>
      </c>
      <c r="AE79" s="147" t="str">
        <f t="shared" si="38"/>
        <v/>
      </c>
      <c r="AF79" s="147" t="str">
        <f t="shared" si="39"/>
        <v/>
      </c>
      <c r="AG79" s="147" t="str">
        <f t="shared" si="40"/>
        <v/>
      </c>
      <c r="AH79" s="147" t="str">
        <f t="shared" si="41"/>
        <v/>
      </c>
      <c r="AI79" s="147" t="str">
        <f t="shared" si="42"/>
        <v/>
      </c>
      <c r="AJ79" s="147" t="str">
        <f t="shared" si="43"/>
        <v/>
      </c>
      <c r="AK79" s="147" t="str">
        <f t="shared" si="44"/>
        <v/>
      </c>
      <c r="AL79" s="147" t="str">
        <f t="shared" si="45"/>
        <v/>
      </c>
    </row>
    <row r="80" spans="1:38" x14ac:dyDescent="0.3">
      <c r="A80" s="196"/>
      <c r="C80" s="200"/>
      <c r="D80" s="201"/>
      <c r="E80" t="str">
        <f>_xlfn.IFNA(VLOOKUP(C80,'Te gebruiken meststoffen'!$R$3:$AC$10,12,FALSE),"")</f>
        <v/>
      </c>
      <c r="F80" s="52">
        <f t="shared" si="68"/>
        <v>0</v>
      </c>
      <c r="G80" s="52">
        <f t="shared" ref="G80:G84" si="81">O80</f>
        <v>0</v>
      </c>
      <c r="H80" s="52">
        <f t="shared" si="69"/>
        <v>0</v>
      </c>
      <c r="I80" s="52">
        <f t="shared" si="70"/>
        <v>0</v>
      </c>
      <c r="J80" s="52">
        <f t="shared" si="71"/>
        <v>0</v>
      </c>
      <c r="K80" s="52">
        <f t="shared" si="72"/>
        <v>0</v>
      </c>
      <c r="L80" s="52">
        <f t="shared" si="73"/>
        <v>0</v>
      </c>
      <c r="M80" s="53">
        <f t="shared" si="74"/>
        <v>0</v>
      </c>
      <c r="N80">
        <f t="shared" si="75"/>
        <v>0</v>
      </c>
      <c r="O80">
        <f t="shared" si="76"/>
        <v>0</v>
      </c>
      <c r="P80">
        <f t="shared" si="77"/>
        <v>0</v>
      </c>
      <c r="Q80">
        <f t="shared" si="78"/>
        <v>0</v>
      </c>
      <c r="R80">
        <f t="shared" si="79"/>
        <v>0</v>
      </c>
      <c r="S80">
        <f t="shared" si="80"/>
        <v>0</v>
      </c>
      <c r="T80" s="40" t="str">
        <f t="shared" ref="T80:T84" si="82">IF(D80="","",D80*$D$9)</f>
        <v/>
      </c>
      <c r="U80" t="str">
        <f t="shared" ref="U80:U84" si="83">IF(D80="","",E80)</f>
        <v/>
      </c>
      <c r="V80" t="str">
        <f t="shared" ref="V80:V84" si="84">IF(D80="","",D80*(VLOOKUP(C80,$C$45:$M$58,11,FALSE)))</f>
        <v/>
      </c>
      <c r="W80" s="43" t="str">
        <f t="shared" ref="W80:W84" si="85">IF(T80="","",T80*(VLOOKUP(C80,$C$45:$M$58,11,FALSE)))</f>
        <v/>
      </c>
      <c r="Y80" s="147" t="str">
        <f t="shared" si="32"/>
        <v/>
      </c>
      <c r="Z80" s="147" t="str">
        <f t="shared" si="33"/>
        <v/>
      </c>
      <c r="AA80" s="147" t="str">
        <f t="shared" si="34"/>
        <v/>
      </c>
      <c r="AB80" s="147" t="str">
        <f t="shared" si="35"/>
        <v/>
      </c>
      <c r="AC80" s="147" t="str">
        <f t="shared" si="36"/>
        <v/>
      </c>
      <c r="AD80" s="147" t="str">
        <f t="shared" si="37"/>
        <v/>
      </c>
      <c r="AE80" s="147" t="str">
        <f t="shared" si="38"/>
        <v/>
      </c>
      <c r="AF80" s="147" t="str">
        <f t="shared" si="39"/>
        <v/>
      </c>
      <c r="AG80" s="147" t="str">
        <f t="shared" si="40"/>
        <v/>
      </c>
      <c r="AH80" s="147" t="str">
        <f t="shared" si="41"/>
        <v/>
      </c>
      <c r="AI80" s="147" t="str">
        <f t="shared" si="42"/>
        <v/>
      </c>
      <c r="AJ80" s="147" t="str">
        <f t="shared" si="43"/>
        <v/>
      </c>
      <c r="AK80" s="147" t="str">
        <f t="shared" si="44"/>
        <v/>
      </c>
      <c r="AL80" s="147" t="str">
        <f t="shared" si="45"/>
        <v/>
      </c>
    </row>
    <row r="81" spans="1:38" x14ac:dyDescent="0.3">
      <c r="A81" s="196"/>
      <c r="C81" s="200"/>
      <c r="D81" s="201"/>
      <c r="E81" t="str">
        <f>_xlfn.IFNA(VLOOKUP(C81,'Te gebruiken meststoffen'!$R$3:$AC$10,12,FALSE),"")</f>
        <v/>
      </c>
      <c r="F81" s="52">
        <f t="shared" si="68"/>
        <v>0</v>
      </c>
      <c r="G81" s="52">
        <f t="shared" si="81"/>
        <v>0</v>
      </c>
      <c r="H81" s="52">
        <f t="shared" si="69"/>
        <v>0</v>
      </c>
      <c r="I81" s="52">
        <f t="shared" si="70"/>
        <v>0</v>
      </c>
      <c r="J81" s="52">
        <f t="shared" si="71"/>
        <v>0</v>
      </c>
      <c r="K81" s="52">
        <f t="shared" si="72"/>
        <v>0</v>
      </c>
      <c r="L81" s="52">
        <f t="shared" si="73"/>
        <v>0</v>
      </c>
      <c r="M81" s="53">
        <f t="shared" si="74"/>
        <v>0</v>
      </c>
      <c r="N81">
        <f t="shared" si="75"/>
        <v>0</v>
      </c>
      <c r="O81">
        <f t="shared" si="76"/>
        <v>0</v>
      </c>
      <c r="P81">
        <f t="shared" si="77"/>
        <v>0</v>
      </c>
      <c r="Q81">
        <f t="shared" si="78"/>
        <v>0</v>
      </c>
      <c r="R81">
        <f t="shared" si="79"/>
        <v>0</v>
      </c>
      <c r="S81">
        <f t="shared" si="80"/>
        <v>0</v>
      </c>
      <c r="T81" s="40" t="str">
        <f t="shared" si="82"/>
        <v/>
      </c>
      <c r="U81" t="str">
        <f t="shared" si="83"/>
        <v/>
      </c>
      <c r="V81" t="str">
        <f t="shared" si="84"/>
        <v/>
      </c>
      <c r="W81" s="43" t="str">
        <f t="shared" si="85"/>
        <v/>
      </c>
      <c r="Y81" s="147" t="str">
        <f t="shared" si="32"/>
        <v/>
      </c>
      <c r="Z81" s="147" t="str">
        <f t="shared" si="33"/>
        <v/>
      </c>
      <c r="AA81" s="147" t="str">
        <f t="shared" si="34"/>
        <v/>
      </c>
      <c r="AB81" s="147" t="str">
        <f t="shared" si="35"/>
        <v/>
      </c>
      <c r="AC81" s="147" t="str">
        <f t="shared" si="36"/>
        <v/>
      </c>
      <c r="AD81" s="147" t="str">
        <f t="shared" si="37"/>
        <v/>
      </c>
      <c r="AE81" s="147" t="str">
        <f t="shared" si="38"/>
        <v/>
      </c>
      <c r="AF81" s="147" t="str">
        <f t="shared" si="39"/>
        <v/>
      </c>
      <c r="AG81" s="147" t="str">
        <f t="shared" si="40"/>
        <v/>
      </c>
      <c r="AH81" s="147" t="str">
        <f t="shared" si="41"/>
        <v/>
      </c>
      <c r="AI81" s="147" t="str">
        <f t="shared" si="42"/>
        <v/>
      </c>
      <c r="AJ81" s="147" t="str">
        <f t="shared" si="43"/>
        <v/>
      </c>
      <c r="AK81" s="147" t="str">
        <f t="shared" si="44"/>
        <v/>
      </c>
      <c r="AL81" s="147" t="str">
        <f t="shared" si="45"/>
        <v/>
      </c>
    </row>
    <row r="82" spans="1:38" x14ac:dyDescent="0.3">
      <c r="A82" s="196"/>
      <c r="C82" s="200"/>
      <c r="D82" s="201"/>
      <c r="E82" t="str">
        <f>_xlfn.IFNA(VLOOKUP(C82,'Te gebruiken meststoffen'!$R$3:$AC$10,12,FALSE),"")</f>
        <v/>
      </c>
      <c r="F82" s="52">
        <f t="shared" si="68"/>
        <v>0</v>
      </c>
      <c r="G82" s="52">
        <f t="shared" si="81"/>
        <v>0</v>
      </c>
      <c r="H82" s="52">
        <f t="shared" si="69"/>
        <v>0</v>
      </c>
      <c r="I82" s="52">
        <f t="shared" si="70"/>
        <v>0</v>
      </c>
      <c r="J82" s="52">
        <f t="shared" si="71"/>
        <v>0</v>
      </c>
      <c r="K82" s="52">
        <f t="shared" si="72"/>
        <v>0</v>
      </c>
      <c r="L82" s="52">
        <f t="shared" si="73"/>
        <v>0</v>
      </c>
      <c r="M82" s="53">
        <f t="shared" si="74"/>
        <v>0</v>
      </c>
      <c r="N82">
        <f t="shared" si="75"/>
        <v>0</v>
      </c>
      <c r="O82">
        <f t="shared" si="76"/>
        <v>0</v>
      </c>
      <c r="P82">
        <f t="shared" si="77"/>
        <v>0</v>
      </c>
      <c r="Q82">
        <f t="shared" si="78"/>
        <v>0</v>
      </c>
      <c r="R82">
        <f t="shared" si="79"/>
        <v>0</v>
      </c>
      <c r="S82">
        <f t="shared" si="80"/>
        <v>0</v>
      </c>
      <c r="T82" s="40" t="str">
        <f t="shared" si="82"/>
        <v/>
      </c>
      <c r="U82" t="str">
        <f t="shared" si="83"/>
        <v/>
      </c>
      <c r="V82" t="str">
        <f t="shared" si="84"/>
        <v/>
      </c>
      <c r="W82" s="43" t="str">
        <f t="shared" si="85"/>
        <v/>
      </c>
      <c r="Y82" s="147" t="str">
        <f t="shared" si="32"/>
        <v/>
      </c>
      <c r="Z82" s="147" t="str">
        <f t="shared" si="33"/>
        <v/>
      </c>
      <c r="AA82" s="147" t="str">
        <f t="shared" si="34"/>
        <v/>
      </c>
      <c r="AB82" s="147" t="str">
        <f t="shared" si="35"/>
        <v/>
      </c>
      <c r="AC82" s="147" t="str">
        <f t="shared" si="36"/>
        <v/>
      </c>
      <c r="AD82" s="147" t="str">
        <f t="shared" si="37"/>
        <v/>
      </c>
      <c r="AE82" s="147" t="str">
        <f t="shared" si="38"/>
        <v/>
      </c>
      <c r="AF82" s="147" t="str">
        <f t="shared" si="39"/>
        <v/>
      </c>
      <c r="AG82" s="147" t="str">
        <f t="shared" si="40"/>
        <v/>
      </c>
      <c r="AH82" s="147" t="str">
        <f t="shared" si="41"/>
        <v/>
      </c>
      <c r="AI82" s="147" t="str">
        <f t="shared" si="42"/>
        <v/>
      </c>
      <c r="AJ82" s="147" t="str">
        <f t="shared" si="43"/>
        <v/>
      </c>
      <c r="AK82" s="147" t="str">
        <f t="shared" si="44"/>
        <v/>
      </c>
      <c r="AL82" s="147" t="str">
        <f t="shared" si="45"/>
        <v/>
      </c>
    </row>
    <row r="83" spans="1:38" x14ac:dyDescent="0.3">
      <c r="A83" s="196"/>
      <c r="C83" s="200"/>
      <c r="D83" s="201"/>
      <c r="E83" t="str">
        <f>_xlfn.IFNA(VLOOKUP(C83,'Te gebruiken meststoffen'!$R$3:$AC$10,12,FALSE),"")</f>
        <v/>
      </c>
      <c r="F83" s="52">
        <f t="shared" si="68"/>
        <v>0</v>
      </c>
      <c r="G83" s="52">
        <f t="shared" si="81"/>
        <v>0</v>
      </c>
      <c r="H83" s="52">
        <f t="shared" si="69"/>
        <v>0</v>
      </c>
      <c r="I83" s="52">
        <f t="shared" si="70"/>
        <v>0</v>
      </c>
      <c r="J83" s="52">
        <f t="shared" si="71"/>
        <v>0</v>
      </c>
      <c r="K83" s="52">
        <f t="shared" si="72"/>
        <v>0</v>
      </c>
      <c r="L83" s="52">
        <f t="shared" si="73"/>
        <v>0</v>
      </c>
      <c r="M83" s="53">
        <f t="shared" si="74"/>
        <v>0</v>
      </c>
      <c r="N83">
        <f t="shared" si="75"/>
        <v>0</v>
      </c>
      <c r="O83">
        <f t="shared" si="76"/>
        <v>0</v>
      </c>
      <c r="P83">
        <f t="shared" si="77"/>
        <v>0</v>
      </c>
      <c r="Q83">
        <f t="shared" si="78"/>
        <v>0</v>
      </c>
      <c r="R83">
        <f t="shared" si="79"/>
        <v>0</v>
      </c>
      <c r="S83">
        <f t="shared" si="80"/>
        <v>0</v>
      </c>
      <c r="T83" s="40" t="str">
        <f t="shared" si="82"/>
        <v/>
      </c>
      <c r="U83" t="str">
        <f t="shared" si="83"/>
        <v/>
      </c>
      <c r="V83" t="str">
        <f t="shared" si="84"/>
        <v/>
      </c>
      <c r="W83" s="43" t="str">
        <f t="shared" si="85"/>
        <v/>
      </c>
      <c r="Y83" s="147" t="str">
        <f t="shared" si="32"/>
        <v/>
      </c>
      <c r="Z83" s="147" t="str">
        <f t="shared" si="33"/>
        <v/>
      </c>
      <c r="AA83" s="147" t="str">
        <f t="shared" si="34"/>
        <v/>
      </c>
      <c r="AB83" s="147" t="str">
        <f t="shared" si="35"/>
        <v/>
      </c>
      <c r="AC83" s="147" t="str">
        <f t="shared" si="36"/>
        <v/>
      </c>
      <c r="AD83" s="147" t="str">
        <f t="shared" si="37"/>
        <v/>
      </c>
      <c r="AE83" s="147" t="str">
        <f t="shared" si="38"/>
        <v/>
      </c>
      <c r="AF83" s="147" t="str">
        <f t="shared" si="39"/>
        <v/>
      </c>
      <c r="AG83" s="147" t="str">
        <f t="shared" si="40"/>
        <v/>
      </c>
      <c r="AH83" s="147" t="str">
        <f t="shared" si="41"/>
        <v/>
      </c>
      <c r="AI83" s="147" t="str">
        <f t="shared" si="42"/>
        <v/>
      </c>
      <c r="AJ83" s="147" t="str">
        <f t="shared" si="43"/>
        <v/>
      </c>
      <c r="AK83" s="147" t="str">
        <f t="shared" si="44"/>
        <v/>
      </c>
      <c r="AL83" s="147" t="str">
        <f t="shared" si="45"/>
        <v/>
      </c>
    </row>
    <row r="84" spans="1:38" ht="15" thickBot="1" x14ac:dyDescent="0.35">
      <c r="A84" s="197"/>
      <c r="C84" s="200"/>
      <c r="D84" s="201"/>
      <c r="E84" t="str">
        <f>_xlfn.IFNA(VLOOKUP(C84,'Te gebruiken meststoffen'!$R$3:$AC$10,12,FALSE),"")</f>
        <v/>
      </c>
      <c r="F84" s="52">
        <f t="shared" si="68"/>
        <v>0</v>
      </c>
      <c r="G84" s="52">
        <f t="shared" si="81"/>
        <v>0</v>
      </c>
      <c r="H84" s="52">
        <f t="shared" si="69"/>
        <v>0</v>
      </c>
      <c r="I84" s="52">
        <f t="shared" si="70"/>
        <v>0</v>
      </c>
      <c r="J84" s="52">
        <f t="shared" si="71"/>
        <v>0</v>
      </c>
      <c r="K84" s="52">
        <f t="shared" si="72"/>
        <v>0</v>
      </c>
      <c r="L84" s="52">
        <f t="shared" si="73"/>
        <v>0</v>
      </c>
      <c r="M84" s="53">
        <f t="shared" si="74"/>
        <v>0</v>
      </c>
      <c r="N84">
        <f t="shared" si="75"/>
        <v>0</v>
      </c>
      <c r="O84">
        <f t="shared" si="76"/>
        <v>0</v>
      </c>
      <c r="P84">
        <f t="shared" si="77"/>
        <v>0</v>
      </c>
      <c r="Q84">
        <f t="shared" si="78"/>
        <v>0</v>
      </c>
      <c r="R84">
        <f t="shared" si="79"/>
        <v>0</v>
      </c>
      <c r="S84">
        <f t="shared" si="80"/>
        <v>0</v>
      </c>
      <c r="T84" s="134" t="str">
        <f t="shared" si="82"/>
        <v/>
      </c>
      <c r="U84" s="131" t="str">
        <f t="shared" si="83"/>
        <v/>
      </c>
      <c r="V84" s="131" t="str">
        <f t="shared" si="84"/>
        <v/>
      </c>
      <c r="W84" s="135" t="str">
        <f t="shared" si="85"/>
        <v/>
      </c>
      <c r="Y84" s="147" t="str">
        <f t="shared" si="32"/>
        <v/>
      </c>
      <c r="Z84" s="147" t="str">
        <f t="shared" si="33"/>
        <v/>
      </c>
      <c r="AA84" s="147" t="str">
        <f t="shared" si="34"/>
        <v/>
      </c>
      <c r="AB84" s="147" t="str">
        <f t="shared" si="35"/>
        <v/>
      </c>
      <c r="AC84" s="147" t="str">
        <f t="shared" si="36"/>
        <v/>
      </c>
      <c r="AD84" s="147" t="str">
        <f t="shared" si="37"/>
        <v/>
      </c>
      <c r="AE84" s="147" t="str">
        <f t="shared" si="38"/>
        <v/>
      </c>
      <c r="AF84" s="147" t="str">
        <f t="shared" si="39"/>
        <v/>
      </c>
      <c r="AG84" s="147" t="str">
        <f t="shared" si="40"/>
        <v/>
      </c>
      <c r="AH84" s="147" t="str">
        <f t="shared" si="41"/>
        <v/>
      </c>
      <c r="AI84" s="147" t="str">
        <f t="shared" si="42"/>
        <v/>
      </c>
      <c r="AJ84" s="147" t="str">
        <f t="shared" si="43"/>
        <v/>
      </c>
      <c r="AK84" s="147" t="str">
        <f t="shared" si="44"/>
        <v/>
      </c>
      <c r="AL84" s="147" t="str">
        <f t="shared" si="45"/>
        <v/>
      </c>
    </row>
    <row r="85" spans="1:38" ht="15" thickBot="1" x14ac:dyDescent="0.35">
      <c r="C85" s="75"/>
      <c r="D85" s="76"/>
      <c r="E85" s="56" t="s">
        <v>506</v>
      </c>
      <c r="F85" s="79">
        <f t="shared" ref="F85:M85" si="86">SUM(F79:F84)</f>
        <v>0</v>
      </c>
      <c r="G85" s="79">
        <f>SUM(G78:G84)</f>
        <v>0</v>
      </c>
      <c r="H85" s="79">
        <f t="shared" si="86"/>
        <v>0</v>
      </c>
      <c r="I85" s="79">
        <f t="shared" si="86"/>
        <v>0</v>
      </c>
      <c r="J85" s="79">
        <f t="shared" si="86"/>
        <v>0</v>
      </c>
      <c r="K85" s="79">
        <f t="shared" si="86"/>
        <v>0</v>
      </c>
      <c r="L85" s="79">
        <f t="shared" si="86"/>
        <v>0</v>
      </c>
      <c r="M85" s="112">
        <f t="shared" si="86"/>
        <v>0</v>
      </c>
      <c r="N85" s="60">
        <f>SUM(O79:O84,P71:P76,Q63:Q68)</f>
        <v>0</v>
      </c>
      <c r="T85" s="138"/>
      <c r="U85" s="139"/>
      <c r="V85" s="139">
        <f>SUM(V79:V84)</f>
        <v>0</v>
      </c>
      <c r="W85" s="140">
        <f>SUM(W79:W84)</f>
        <v>0</v>
      </c>
      <c r="Y85" s="147"/>
      <c r="Z85" s="147"/>
      <c r="AA85" s="147"/>
      <c r="AB85" s="147"/>
      <c r="AC85" s="147"/>
      <c r="AD85" s="147"/>
      <c r="AE85" s="147"/>
      <c r="AF85" s="147"/>
      <c r="AG85" s="147"/>
      <c r="AH85" s="147"/>
      <c r="AI85" s="147"/>
      <c r="AJ85" s="147"/>
      <c r="AK85" s="147"/>
      <c r="AL85" s="147"/>
    </row>
    <row r="86" spans="1:38" ht="15" thickBot="1" x14ac:dyDescent="0.35">
      <c r="A86" s="128" t="s">
        <v>611</v>
      </c>
      <c r="C86" s="128" t="s">
        <v>501</v>
      </c>
      <c r="D86" s="76" t="s">
        <v>620</v>
      </c>
      <c r="E86" s="76"/>
      <c r="F86" s="76"/>
      <c r="G86" s="146">
        <f>N93-SUM(G87:G92)</f>
        <v>0</v>
      </c>
      <c r="H86" s="76"/>
      <c r="I86" s="76"/>
      <c r="J86" s="76"/>
      <c r="K86" s="76"/>
      <c r="L86" s="76"/>
      <c r="M86" s="77"/>
      <c r="S86">
        <f>SUM(S87:S92)</f>
        <v>0</v>
      </c>
      <c r="T86" s="75"/>
      <c r="U86" s="76"/>
      <c r="V86" s="76"/>
      <c r="W86" s="77"/>
      <c r="Y86" s="147"/>
      <c r="Z86" s="147"/>
      <c r="AA86" s="147"/>
      <c r="AB86" s="147"/>
      <c r="AC86" s="147"/>
      <c r="AD86" s="147"/>
      <c r="AE86" s="147"/>
      <c r="AF86" s="147"/>
      <c r="AG86" s="147"/>
      <c r="AH86" s="147"/>
      <c r="AI86" s="147"/>
      <c r="AJ86" s="147"/>
      <c r="AK86" s="147"/>
      <c r="AL86" s="147"/>
    </row>
    <row r="87" spans="1:38" x14ac:dyDescent="0.3">
      <c r="A87" s="195"/>
      <c r="C87" s="198"/>
      <c r="D87" s="199"/>
      <c r="E87" s="35" t="str">
        <f>_xlfn.IFNA(VLOOKUP(C87,'Te gebruiken meststoffen'!$R$3:$AC$10,12,FALSE),"")</f>
        <v/>
      </c>
      <c r="F87" s="50">
        <f t="shared" ref="F87:F92" si="87">D87*(IFERROR(VLOOKUP(C87,$C$45:$Q$58,3,FALSE),0))</f>
        <v>0</v>
      </c>
      <c r="G87" s="50">
        <f>O87</f>
        <v>0</v>
      </c>
      <c r="H87" s="50">
        <f t="shared" ref="H87:H92" si="88">D87*(IFERROR(VLOOKUP(C87,$C$45:$Q$58,5,FALSE),0))</f>
        <v>0</v>
      </c>
      <c r="I87" s="50">
        <f t="shared" ref="I87:I92" si="89">D87*(IFERROR(VLOOKUP(C87,$C$45:$Q$58,6,FALSE),0))</f>
        <v>0</v>
      </c>
      <c r="J87" s="50">
        <f t="shared" ref="J87:J92" si="90">D87*(IFERROR(VLOOKUP(C87,$C$45:$Q$58,7,FALSE),0))</f>
        <v>0</v>
      </c>
      <c r="K87" s="50">
        <f t="shared" ref="K87:K92" si="91">D87*(IFERROR(VLOOKUP(C87,$C$45:$Q$58,8,FALSE),0))</f>
        <v>0</v>
      </c>
      <c r="L87" s="50">
        <f t="shared" ref="L87:L92" si="92">D87*(IFERROR(VLOOKUP(C87,$C$45:$Q$58,9,FALSE),0))</f>
        <v>0</v>
      </c>
      <c r="M87" s="51">
        <f t="shared" ref="M87:M92" si="93">D87*(IFERROR(VLOOKUP(C87,$C$45:$Q$58,10,FALSE),0))</f>
        <v>0</v>
      </c>
      <c r="N87">
        <f>O87+P79+Q71+R63</f>
        <v>0</v>
      </c>
      <c r="O87">
        <f t="shared" ref="O87:O92" si="94">D87*(IFERROR(VLOOKUP(C87,$C$45:$Q$58,12,FALSE),0))</f>
        <v>0</v>
      </c>
      <c r="P87">
        <f t="shared" ref="P87:P92" si="95">D87*(IFERROR(VLOOKUP(C87,$C$45:$Q$58,13,FALSE),0))</f>
        <v>0</v>
      </c>
      <c r="Q87">
        <f t="shared" ref="Q87:Q92" si="96">D87*(IFERROR(VLOOKUP(C87,$C$45:$Q$58,14,FALSE),0))</f>
        <v>0</v>
      </c>
      <c r="R87" s="150">
        <f t="shared" ref="R87:R92" si="97">D87*(IFERROR(VLOOKUP(C87,$C$45:$Q$58,15,FALSE),0))</f>
        <v>0</v>
      </c>
      <c r="S87">
        <f t="shared" ref="S87:S92" si="98">IF(F87&gt;0,F87,G87)</f>
        <v>0</v>
      </c>
      <c r="T87" s="34" t="str">
        <f>IF(D87="","",D87*$D$9)</f>
        <v/>
      </c>
      <c r="U87" s="35" t="str">
        <f>IF(D87="","",E87)</f>
        <v/>
      </c>
      <c r="V87" s="35" t="str">
        <f>IF(D87="","",D87*(VLOOKUP(C87,$C$45:$M$58,11,FALSE)))</f>
        <v/>
      </c>
      <c r="W87" s="36" t="str">
        <f>IF(T87="","",T87*(VLOOKUP(C87,$C$45:$M$58,11,FALSE)))</f>
        <v/>
      </c>
      <c r="Y87" s="147" t="str">
        <f t="shared" si="32"/>
        <v/>
      </c>
      <c r="Z87" s="147" t="str">
        <f t="shared" si="33"/>
        <v/>
      </c>
      <c r="AA87" s="147" t="str">
        <f t="shared" si="34"/>
        <v/>
      </c>
      <c r="AB87" s="147" t="str">
        <f t="shared" si="35"/>
        <v/>
      </c>
      <c r="AC87" s="147" t="str">
        <f t="shared" si="36"/>
        <v/>
      </c>
      <c r="AD87" s="147" t="str">
        <f t="shared" si="37"/>
        <v/>
      </c>
      <c r="AE87" s="147" t="str">
        <f t="shared" si="38"/>
        <v/>
      </c>
      <c r="AF87" s="147" t="str">
        <f t="shared" si="39"/>
        <v/>
      </c>
      <c r="AG87" s="147" t="str">
        <f t="shared" si="40"/>
        <v/>
      </c>
      <c r="AH87" s="147" t="str">
        <f t="shared" si="41"/>
        <v/>
      </c>
      <c r="AI87" s="147" t="str">
        <f t="shared" si="42"/>
        <v/>
      </c>
      <c r="AJ87" s="147" t="str">
        <f t="shared" si="43"/>
        <v/>
      </c>
      <c r="AK87" s="147" t="str">
        <f t="shared" si="44"/>
        <v/>
      </c>
      <c r="AL87" s="147" t="str">
        <f t="shared" si="45"/>
        <v/>
      </c>
    </row>
    <row r="88" spans="1:38" x14ac:dyDescent="0.3">
      <c r="A88" s="196"/>
      <c r="C88" s="200"/>
      <c r="D88" s="201"/>
      <c r="E88" t="str">
        <f>_xlfn.IFNA(VLOOKUP(C88,'Te gebruiken meststoffen'!$R$3:$AC$10,12,FALSE),"")</f>
        <v/>
      </c>
      <c r="F88" s="52">
        <f t="shared" si="87"/>
        <v>0</v>
      </c>
      <c r="G88" s="52">
        <f t="shared" ref="G88:G92" si="99">O88</f>
        <v>0</v>
      </c>
      <c r="H88" s="52">
        <f t="shared" si="88"/>
        <v>0</v>
      </c>
      <c r="I88" s="52">
        <f t="shared" si="89"/>
        <v>0</v>
      </c>
      <c r="J88" s="52">
        <f t="shared" si="90"/>
        <v>0</v>
      </c>
      <c r="K88" s="52">
        <f t="shared" si="91"/>
        <v>0</v>
      </c>
      <c r="L88" s="52">
        <f t="shared" si="92"/>
        <v>0</v>
      </c>
      <c r="M88" s="53">
        <f t="shared" si="93"/>
        <v>0</v>
      </c>
      <c r="N88">
        <f>O88+P80+Q72+R64</f>
        <v>0</v>
      </c>
      <c r="O88">
        <f t="shared" si="94"/>
        <v>0</v>
      </c>
      <c r="P88">
        <f t="shared" si="95"/>
        <v>0</v>
      </c>
      <c r="Q88">
        <f t="shared" si="96"/>
        <v>0</v>
      </c>
      <c r="R88" s="150">
        <f t="shared" si="97"/>
        <v>0</v>
      </c>
      <c r="S88">
        <f t="shared" si="98"/>
        <v>0</v>
      </c>
      <c r="T88" s="40" t="str">
        <f t="shared" ref="T88:T92" si="100">IF(D88="","",D88*$D$9)</f>
        <v/>
      </c>
      <c r="U88" t="str">
        <f t="shared" ref="U88:U92" si="101">IF(D88="","",E88)</f>
        <v/>
      </c>
      <c r="V88" t="str">
        <f t="shared" ref="V88:V92" si="102">IF(D88="","",D88*(VLOOKUP(C88,$C$45:$M$58,11,FALSE)))</f>
        <v/>
      </c>
      <c r="W88" s="43" t="str">
        <f t="shared" ref="W88:W92" si="103">IF(T88="","",T88*(VLOOKUP(C88,$C$45:$M$58,11,FALSE)))</f>
        <v/>
      </c>
      <c r="Y88" s="147" t="str">
        <f t="shared" si="32"/>
        <v/>
      </c>
      <c r="Z88" s="147" t="str">
        <f t="shared" si="33"/>
        <v/>
      </c>
      <c r="AA88" s="147" t="str">
        <f t="shared" si="34"/>
        <v/>
      </c>
      <c r="AB88" s="147" t="str">
        <f t="shared" si="35"/>
        <v/>
      </c>
      <c r="AC88" s="147" t="str">
        <f t="shared" si="36"/>
        <v/>
      </c>
      <c r="AD88" s="147" t="str">
        <f t="shared" si="37"/>
        <v/>
      </c>
      <c r="AE88" s="147" t="str">
        <f t="shared" si="38"/>
        <v/>
      </c>
      <c r="AF88" s="147" t="str">
        <f t="shared" si="39"/>
        <v/>
      </c>
      <c r="AG88" s="147" t="str">
        <f t="shared" si="40"/>
        <v/>
      </c>
      <c r="AH88" s="147" t="str">
        <f t="shared" si="41"/>
        <v/>
      </c>
      <c r="AI88" s="147" t="str">
        <f t="shared" si="42"/>
        <v/>
      </c>
      <c r="AJ88" s="147" t="str">
        <f t="shared" si="43"/>
        <v/>
      </c>
      <c r="AK88" s="147" t="str">
        <f t="shared" si="44"/>
        <v/>
      </c>
      <c r="AL88" s="147" t="str">
        <f t="shared" si="45"/>
        <v/>
      </c>
    </row>
    <row r="89" spans="1:38" x14ac:dyDescent="0.3">
      <c r="A89" s="196"/>
      <c r="C89" s="200"/>
      <c r="D89" s="201"/>
      <c r="E89" t="str">
        <f>_xlfn.IFNA(VLOOKUP(C89,'Te gebruiken meststoffen'!$R$3:$AC$10,12,FALSE),"")</f>
        <v/>
      </c>
      <c r="F89" s="52">
        <f t="shared" si="87"/>
        <v>0</v>
      </c>
      <c r="G89" s="52">
        <f t="shared" si="99"/>
        <v>0</v>
      </c>
      <c r="H89" s="52">
        <f t="shared" si="88"/>
        <v>0</v>
      </c>
      <c r="I89" s="52">
        <f t="shared" si="89"/>
        <v>0</v>
      </c>
      <c r="J89" s="52">
        <f t="shared" si="90"/>
        <v>0</v>
      </c>
      <c r="K89" s="52">
        <f t="shared" si="91"/>
        <v>0</v>
      </c>
      <c r="L89" s="52">
        <f t="shared" si="92"/>
        <v>0</v>
      </c>
      <c r="M89" s="53">
        <f t="shared" si="93"/>
        <v>0</v>
      </c>
      <c r="N89">
        <f t="shared" ref="N89:N92" si="104">O89+P81+Q73+R65</f>
        <v>0</v>
      </c>
      <c r="O89">
        <f t="shared" si="94"/>
        <v>0</v>
      </c>
      <c r="P89">
        <f t="shared" si="95"/>
        <v>0</v>
      </c>
      <c r="Q89">
        <f t="shared" si="96"/>
        <v>0</v>
      </c>
      <c r="R89" s="150">
        <f t="shared" si="97"/>
        <v>0</v>
      </c>
      <c r="S89">
        <f t="shared" si="98"/>
        <v>0</v>
      </c>
      <c r="T89" s="40" t="str">
        <f t="shared" si="100"/>
        <v/>
      </c>
      <c r="U89" t="str">
        <f t="shared" si="101"/>
        <v/>
      </c>
      <c r="V89" t="str">
        <f t="shared" si="102"/>
        <v/>
      </c>
      <c r="W89" s="43" t="str">
        <f t="shared" si="103"/>
        <v/>
      </c>
      <c r="Y89" s="147" t="str">
        <f t="shared" si="32"/>
        <v/>
      </c>
      <c r="Z89" s="147" t="str">
        <f t="shared" si="33"/>
        <v/>
      </c>
      <c r="AA89" s="147" t="str">
        <f t="shared" si="34"/>
        <v/>
      </c>
      <c r="AB89" s="147" t="str">
        <f t="shared" si="35"/>
        <v/>
      </c>
      <c r="AC89" s="147" t="str">
        <f t="shared" si="36"/>
        <v/>
      </c>
      <c r="AD89" s="147" t="str">
        <f t="shared" si="37"/>
        <v/>
      </c>
      <c r="AE89" s="147" t="str">
        <f t="shared" si="38"/>
        <v/>
      </c>
      <c r="AF89" s="147" t="str">
        <f t="shared" si="39"/>
        <v/>
      </c>
      <c r="AG89" s="147" t="str">
        <f t="shared" si="40"/>
        <v/>
      </c>
      <c r="AH89" s="147" t="str">
        <f t="shared" si="41"/>
        <v/>
      </c>
      <c r="AI89" s="147" t="str">
        <f t="shared" si="42"/>
        <v/>
      </c>
      <c r="AJ89" s="147" t="str">
        <f t="shared" si="43"/>
        <v/>
      </c>
      <c r="AK89" s="147" t="str">
        <f t="shared" si="44"/>
        <v/>
      </c>
      <c r="AL89" s="147" t="str">
        <f t="shared" si="45"/>
        <v/>
      </c>
    </row>
    <row r="90" spans="1:38" x14ac:dyDescent="0.3">
      <c r="A90" s="196"/>
      <c r="C90" s="200"/>
      <c r="D90" s="201"/>
      <c r="E90" t="str">
        <f>_xlfn.IFNA(VLOOKUP(C90,'Te gebruiken meststoffen'!$R$3:$AC$10,12,FALSE),"")</f>
        <v/>
      </c>
      <c r="F90" s="52">
        <f t="shared" si="87"/>
        <v>0</v>
      </c>
      <c r="G90" s="52">
        <f t="shared" si="99"/>
        <v>0</v>
      </c>
      <c r="H90" s="52">
        <f t="shared" si="88"/>
        <v>0</v>
      </c>
      <c r="I90" s="52">
        <f t="shared" si="89"/>
        <v>0</v>
      </c>
      <c r="J90" s="52">
        <f t="shared" si="90"/>
        <v>0</v>
      </c>
      <c r="K90" s="52">
        <f t="shared" si="91"/>
        <v>0</v>
      </c>
      <c r="L90" s="52">
        <f t="shared" si="92"/>
        <v>0</v>
      </c>
      <c r="M90" s="53">
        <f t="shared" si="93"/>
        <v>0</v>
      </c>
      <c r="N90">
        <f t="shared" si="104"/>
        <v>0</v>
      </c>
      <c r="O90">
        <f t="shared" si="94"/>
        <v>0</v>
      </c>
      <c r="P90">
        <f t="shared" si="95"/>
        <v>0</v>
      </c>
      <c r="Q90">
        <f t="shared" si="96"/>
        <v>0</v>
      </c>
      <c r="R90" s="150">
        <f t="shared" si="97"/>
        <v>0</v>
      </c>
      <c r="S90">
        <f t="shared" si="98"/>
        <v>0</v>
      </c>
      <c r="T90" s="40" t="str">
        <f t="shared" si="100"/>
        <v/>
      </c>
      <c r="U90" t="str">
        <f t="shared" si="101"/>
        <v/>
      </c>
      <c r="V90" t="str">
        <f t="shared" si="102"/>
        <v/>
      </c>
      <c r="W90" s="43" t="str">
        <f t="shared" si="103"/>
        <v/>
      </c>
      <c r="Y90" s="147" t="str">
        <f t="shared" si="32"/>
        <v/>
      </c>
      <c r="Z90" s="147" t="str">
        <f t="shared" si="33"/>
        <v/>
      </c>
      <c r="AA90" s="147" t="str">
        <f t="shared" si="34"/>
        <v/>
      </c>
      <c r="AB90" s="147" t="str">
        <f t="shared" si="35"/>
        <v/>
      </c>
      <c r="AC90" s="147" t="str">
        <f t="shared" si="36"/>
        <v/>
      </c>
      <c r="AD90" s="147" t="str">
        <f t="shared" si="37"/>
        <v/>
      </c>
      <c r="AE90" s="147" t="str">
        <f t="shared" si="38"/>
        <v/>
      </c>
      <c r="AF90" s="147" t="str">
        <f t="shared" si="39"/>
        <v/>
      </c>
      <c r="AG90" s="147" t="str">
        <f t="shared" si="40"/>
        <v/>
      </c>
      <c r="AH90" s="147" t="str">
        <f t="shared" si="41"/>
        <v/>
      </c>
      <c r="AI90" s="147" t="str">
        <f t="shared" si="42"/>
        <v/>
      </c>
      <c r="AJ90" s="147" t="str">
        <f t="shared" si="43"/>
        <v/>
      </c>
      <c r="AK90" s="147" t="str">
        <f t="shared" si="44"/>
        <v/>
      </c>
      <c r="AL90" s="147" t="str">
        <f t="shared" si="45"/>
        <v/>
      </c>
    </row>
    <row r="91" spans="1:38" x14ac:dyDescent="0.3">
      <c r="A91" s="196"/>
      <c r="C91" s="200"/>
      <c r="D91" s="201"/>
      <c r="E91" t="str">
        <f>_xlfn.IFNA(VLOOKUP(C91,'Te gebruiken meststoffen'!$R$3:$AC$10,12,FALSE),"")</f>
        <v/>
      </c>
      <c r="F91" s="52">
        <f t="shared" si="87"/>
        <v>0</v>
      </c>
      <c r="G91" s="52">
        <f t="shared" si="99"/>
        <v>0</v>
      </c>
      <c r="H91" s="52">
        <f t="shared" si="88"/>
        <v>0</v>
      </c>
      <c r="I91" s="52">
        <f t="shared" si="89"/>
        <v>0</v>
      </c>
      <c r="J91" s="52">
        <f t="shared" si="90"/>
        <v>0</v>
      </c>
      <c r="K91" s="52">
        <f t="shared" si="91"/>
        <v>0</v>
      </c>
      <c r="L91" s="52">
        <f t="shared" si="92"/>
        <v>0</v>
      </c>
      <c r="M91" s="53">
        <f t="shared" si="93"/>
        <v>0</v>
      </c>
      <c r="N91">
        <f t="shared" si="104"/>
        <v>0</v>
      </c>
      <c r="O91">
        <f t="shared" si="94"/>
        <v>0</v>
      </c>
      <c r="P91">
        <f t="shared" si="95"/>
        <v>0</v>
      </c>
      <c r="Q91">
        <f t="shared" si="96"/>
        <v>0</v>
      </c>
      <c r="R91" s="150">
        <f t="shared" si="97"/>
        <v>0</v>
      </c>
      <c r="S91">
        <f t="shared" si="98"/>
        <v>0</v>
      </c>
      <c r="T91" s="40" t="str">
        <f t="shared" si="100"/>
        <v/>
      </c>
      <c r="U91" t="str">
        <f t="shared" si="101"/>
        <v/>
      </c>
      <c r="V91" t="str">
        <f t="shared" si="102"/>
        <v/>
      </c>
      <c r="W91" s="43" t="str">
        <f t="shared" si="103"/>
        <v/>
      </c>
      <c r="Y91" s="147" t="str">
        <f t="shared" si="32"/>
        <v/>
      </c>
      <c r="Z91" s="147" t="str">
        <f t="shared" si="33"/>
        <v/>
      </c>
      <c r="AA91" s="147" t="str">
        <f t="shared" si="34"/>
        <v/>
      </c>
      <c r="AB91" s="147" t="str">
        <f t="shared" si="35"/>
        <v/>
      </c>
      <c r="AC91" s="147" t="str">
        <f t="shared" si="36"/>
        <v/>
      </c>
      <c r="AD91" s="147" t="str">
        <f t="shared" si="37"/>
        <v/>
      </c>
      <c r="AE91" s="147" t="str">
        <f t="shared" si="38"/>
        <v/>
      </c>
      <c r="AF91" s="147" t="str">
        <f t="shared" si="39"/>
        <v/>
      </c>
      <c r="AG91" s="147" t="str">
        <f t="shared" si="40"/>
        <v/>
      </c>
      <c r="AH91" s="147" t="str">
        <f t="shared" si="41"/>
        <v/>
      </c>
      <c r="AI91" s="147" t="str">
        <f t="shared" si="42"/>
        <v/>
      </c>
      <c r="AJ91" s="147" t="str">
        <f t="shared" si="43"/>
        <v/>
      </c>
      <c r="AK91" s="147" t="str">
        <f t="shared" si="44"/>
        <v/>
      </c>
      <c r="AL91" s="147" t="str">
        <f t="shared" si="45"/>
        <v/>
      </c>
    </row>
    <row r="92" spans="1:38" ht="15" thickBot="1" x14ac:dyDescent="0.35">
      <c r="A92" s="197"/>
      <c r="C92" s="200"/>
      <c r="D92" s="201"/>
      <c r="E92" t="str">
        <f>_xlfn.IFNA(VLOOKUP(C92,'Te gebruiken meststoffen'!$R$3:$AC$10,12,FALSE),"")</f>
        <v/>
      </c>
      <c r="F92" s="52">
        <f t="shared" si="87"/>
        <v>0</v>
      </c>
      <c r="G92" s="52">
        <f t="shared" si="99"/>
        <v>0</v>
      </c>
      <c r="H92" s="52">
        <f t="shared" si="88"/>
        <v>0</v>
      </c>
      <c r="I92" s="52">
        <f t="shared" si="89"/>
        <v>0</v>
      </c>
      <c r="J92" s="52">
        <f t="shared" si="90"/>
        <v>0</v>
      </c>
      <c r="K92" s="52">
        <f t="shared" si="91"/>
        <v>0</v>
      </c>
      <c r="L92" s="52">
        <f t="shared" si="92"/>
        <v>0</v>
      </c>
      <c r="M92" s="53">
        <f t="shared" si="93"/>
        <v>0</v>
      </c>
      <c r="N92">
        <f t="shared" si="104"/>
        <v>0</v>
      </c>
      <c r="O92">
        <f t="shared" si="94"/>
        <v>0</v>
      </c>
      <c r="P92">
        <f t="shared" si="95"/>
        <v>0</v>
      </c>
      <c r="Q92">
        <f t="shared" si="96"/>
        <v>0</v>
      </c>
      <c r="R92" s="150">
        <f t="shared" si="97"/>
        <v>0</v>
      </c>
      <c r="S92">
        <f t="shared" si="98"/>
        <v>0</v>
      </c>
      <c r="T92" s="134" t="str">
        <f t="shared" si="100"/>
        <v/>
      </c>
      <c r="U92" s="131" t="str">
        <f t="shared" si="101"/>
        <v/>
      </c>
      <c r="V92" s="131" t="str">
        <f t="shared" si="102"/>
        <v/>
      </c>
      <c r="W92" s="135" t="str">
        <f t="shared" si="103"/>
        <v/>
      </c>
      <c r="Y92" s="147" t="str">
        <f t="shared" si="32"/>
        <v/>
      </c>
      <c r="Z92" s="147" t="str">
        <f t="shared" si="33"/>
        <v/>
      </c>
      <c r="AA92" s="147" t="str">
        <f t="shared" si="34"/>
        <v/>
      </c>
      <c r="AB92" s="147" t="str">
        <f t="shared" si="35"/>
        <v/>
      </c>
      <c r="AC92" s="147" t="str">
        <f t="shared" si="36"/>
        <v/>
      </c>
      <c r="AD92" s="147" t="str">
        <f t="shared" si="37"/>
        <v/>
      </c>
      <c r="AE92" s="147" t="str">
        <f t="shared" si="38"/>
        <v/>
      </c>
      <c r="AF92" s="147" t="str">
        <f t="shared" si="39"/>
        <v/>
      </c>
      <c r="AG92" s="147" t="str">
        <f t="shared" si="40"/>
        <v/>
      </c>
      <c r="AH92" s="147" t="str">
        <f t="shared" si="41"/>
        <v/>
      </c>
      <c r="AI92" s="147" t="str">
        <f t="shared" si="42"/>
        <v/>
      </c>
      <c r="AJ92" s="147" t="str">
        <f t="shared" si="43"/>
        <v/>
      </c>
      <c r="AK92" s="147" t="str">
        <f t="shared" si="44"/>
        <v/>
      </c>
      <c r="AL92" s="147" t="str">
        <f t="shared" si="45"/>
        <v/>
      </c>
    </row>
    <row r="93" spans="1:38" ht="15" thickBot="1" x14ac:dyDescent="0.35">
      <c r="C93" s="75"/>
      <c r="D93" s="76"/>
      <c r="E93" s="56" t="s">
        <v>507</v>
      </c>
      <c r="F93" s="79">
        <f t="shared" ref="F93:M93" si="105">SUM(F87:F92)</f>
        <v>0</v>
      </c>
      <c r="G93" s="79">
        <f>SUM(G86:G92)</f>
        <v>0</v>
      </c>
      <c r="H93" s="79">
        <f t="shared" si="105"/>
        <v>0</v>
      </c>
      <c r="I93" s="79">
        <f t="shared" si="105"/>
        <v>0</v>
      </c>
      <c r="J93" s="79">
        <f t="shared" si="105"/>
        <v>0</v>
      </c>
      <c r="K93" s="79">
        <f t="shared" si="105"/>
        <v>0</v>
      </c>
      <c r="L93" s="79">
        <f t="shared" si="105"/>
        <v>0</v>
      </c>
      <c r="M93" s="112">
        <f t="shared" si="105"/>
        <v>0</v>
      </c>
      <c r="N93" s="60">
        <f>SUM(O87:O92,P79:P84,Q71:Q76,R63:R68)</f>
        <v>0</v>
      </c>
      <c r="T93" s="138"/>
      <c r="U93" s="139"/>
      <c r="V93" s="139">
        <f>SUM(V87:V92)</f>
        <v>0</v>
      </c>
      <c r="W93" s="140">
        <f>SUM(W87:W92)</f>
        <v>0</v>
      </c>
      <c r="Y93" s="147"/>
      <c r="Z93" s="147"/>
      <c r="AA93" s="147"/>
      <c r="AB93" s="147"/>
      <c r="AC93" s="147"/>
      <c r="AD93" s="147"/>
      <c r="AE93" s="147"/>
      <c r="AF93" s="147"/>
      <c r="AG93" s="147"/>
      <c r="AH93" s="147"/>
      <c r="AI93" s="147"/>
      <c r="AJ93" s="147"/>
      <c r="AK93" s="147"/>
      <c r="AL93" s="147"/>
    </row>
    <row r="94" spans="1:38" ht="15" thickBot="1" x14ac:dyDescent="0.35">
      <c r="A94" s="128" t="s">
        <v>611</v>
      </c>
      <c r="C94" s="128" t="s">
        <v>502</v>
      </c>
      <c r="D94" s="76" t="s">
        <v>620</v>
      </c>
      <c r="E94" s="76"/>
      <c r="F94" s="76"/>
      <c r="G94" s="146">
        <f>N101-SUM(G95:G100)</f>
        <v>0</v>
      </c>
      <c r="H94" s="76"/>
      <c r="I94" s="76"/>
      <c r="J94" s="76"/>
      <c r="K94" s="76"/>
      <c r="L94" s="76"/>
      <c r="M94" s="77"/>
      <c r="S94">
        <f>SUM(S95:S100)</f>
        <v>0</v>
      </c>
      <c r="T94" s="75"/>
      <c r="U94" s="76"/>
      <c r="V94" s="76"/>
      <c r="W94" s="77"/>
      <c r="Y94" s="147"/>
      <c r="Z94" s="147"/>
      <c r="AA94" s="147"/>
      <c r="AB94" s="147"/>
      <c r="AC94" s="147"/>
      <c r="AD94" s="147"/>
      <c r="AE94" s="147"/>
      <c r="AF94" s="147"/>
      <c r="AG94" s="147"/>
      <c r="AH94" s="147"/>
      <c r="AI94" s="147"/>
      <c r="AJ94" s="147"/>
      <c r="AK94" s="147"/>
      <c r="AL94" s="147"/>
    </row>
    <row r="95" spans="1:38" x14ac:dyDescent="0.3">
      <c r="A95" s="195"/>
      <c r="C95" s="198"/>
      <c r="D95" s="199"/>
      <c r="E95" s="35" t="str">
        <f>_xlfn.IFNA(VLOOKUP(C95,'Te gebruiken meststoffen'!$R$3:$AC$10,12,FALSE),"")</f>
        <v/>
      </c>
      <c r="F95" s="50">
        <f t="shared" ref="F95:F100" si="106">D95*(IFERROR(VLOOKUP(C95,$C$45:$Q$58,3,FALSE),0))</f>
        <v>0</v>
      </c>
      <c r="G95" s="50">
        <f>O95</f>
        <v>0</v>
      </c>
      <c r="H95" s="50">
        <f t="shared" ref="H95:H100" si="107">D95*(IFERROR(VLOOKUP(C95,$C$45:$Q$58,5,FALSE),0))</f>
        <v>0</v>
      </c>
      <c r="I95" s="50">
        <f t="shared" ref="I95:I100" si="108">D95*(IFERROR(VLOOKUP(C95,$C$45:$Q$58,6,FALSE),0))</f>
        <v>0</v>
      </c>
      <c r="J95" s="50">
        <f t="shared" ref="J95:J100" si="109">D95*(IFERROR(VLOOKUP(C95,$C$45:$Q$58,7,FALSE),0))</f>
        <v>0</v>
      </c>
      <c r="K95" s="50">
        <f t="shared" ref="K95:K100" si="110">D95*(IFERROR(VLOOKUP(C95,$C$45:$Q$58,8,FALSE),0))</f>
        <v>0</v>
      </c>
      <c r="L95" s="50">
        <f t="shared" ref="L95:L100" si="111">D95*(IFERROR(VLOOKUP(C95,$C$45:$Q$58,9,FALSE),0))</f>
        <v>0</v>
      </c>
      <c r="M95" s="51">
        <f t="shared" ref="M95:M100" si="112">D95*(IFERROR(VLOOKUP(C95,$C$45:$Q$58,10,FALSE),0))</f>
        <v>0</v>
      </c>
      <c r="N95">
        <f t="shared" ref="N95:N100" si="113">O95+P87+Q79+R71</f>
        <v>0</v>
      </c>
      <c r="O95">
        <f t="shared" ref="O95:O100" si="114">D95*(IFERROR(VLOOKUP(C95,$C$45:$Q$58,12,FALSE),0))</f>
        <v>0</v>
      </c>
      <c r="P95">
        <f t="shared" ref="P95:P100" si="115">D95*(IFERROR(VLOOKUP(C95,$C$45:$Q$58,13,FALSE),0))</f>
        <v>0</v>
      </c>
      <c r="Q95" s="150">
        <f t="shared" ref="Q95:Q100" si="116">D95*(IFERROR(VLOOKUP(C95,$C$45:$Q$58,14,FALSE),0))</f>
        <v>0</v>
      </c>
      <c r="R95" s="150">
        <f t="shared" ref="R95:R100" si="117">D95*(IFERROR(VLOOKUP(C95,$C$45:$Q$58,15,FALSE),0))</f>
        <v>0</v>
      </c>
      <c r="S95">
        <f t="shared" ref="S95:S100" si="118">IF(F95&gt;0,F95,G95)</f>
        <v>0</v>
      </c>
      <c r="T95" s="34" t="str">
        <f>IF(D95="","",D95*$D$9)</f>
        <v/>
      </c>
      <c r="U95" s="35" t="str">
        <f>IF(D95="","",E95)</f>
        <v/>
      </c>
      <c r="V95" s="35" t="str">
        <f>IF(D95="","",D95*(VLOOKUP(C95,$C$45:$M$58,11,FALSE)))</f>
        <v/>
      </c>
      <c r="W95" s="36" t="str">
        <f>IF(T95="","",T95*(VLOOKUP(C95,$C$45:$M$58,11,FALSE)))</f>
        <v/>
      </c>
      <c r="Y95" s="147" t="str">
        <f t="shared" si="32"/>
        <v/>
      </c>
      <c r="Z95" s="147" t="str">
        <f t="shared" si="33"/>
        <v/>
      </c>
      <c r="AA95" s="147" t="str">
        <f t="shared" si="34"/>
        <v/>
      </c>
      <c r="AB95" s="147" t="str">
        <f t="shared" si="35"/>
        <v/>
      </c>
      <c r="AC95" s="147" t="str">
        <f t="shared" si="36"/>
        <v/>
      </c>
      <c r="AD95" s="147" t="str">
        <f t="shared" si="37"/>
        <v/>
      </c>
      <c r="AE95" s="147" t="str">
        <f t="shared" si="38"/>
        <v/>
      </c>
      <c r="AF95" s="147" t="str">
        <f t="shared" si="39"/>
        <v/>
      </c>
      <c r="AG95" s="147" t="str">
        <f t="shared" si="40"/>
        <v/>
      </c>
      <c r="AH95" s="147" t="str">
        <f t="shared" si="41"/>
        <v/>
      </c>
      <c r="AI95" s="147" t="str">
        <f t="shared" si="42"/>
        <v/>
      </c>
      <c r="AJ95" s="147" t="str">
        <f t="shared" si="43"/>
        <v/>
      </c>
      <c r="AK95" s="147" t="str">
        <f t="shared" si="44"/>
        <v/>
      </c>
      <c r="AL95" s="147" t="str">
        <f t="shared" si="45"/>
        <v/>
      </c>
    </row>
    <row r="96" spans="1:38" x14ac:dyDescent="0.3">
      <c r="A96" s="196"/>
      <c r="C96" s="200"/>
      <c r="D96" s="201"/>
      <c r="E96" t="str">
        <f>_xlfn.IFNA(VLOOKUP(C96,'Te gebruiken meststoffen'!$R$3:$AC$10,12,FALSE),"")</f>
        <v/>
      </c>
      <c r="F96" s="52">
        <f t="shared" si="106"/>
        <v>0</v>
      </c>
      <c r="G96" s="52">
        <f t="shared" ref="G96:G100" si="119">O96</f>
        <v>0</v>
      </c>
      <c r="H96" s="52">
        <f t="shared" si="107"/>
        <v>0</v>
      </c>
      <c r="I96" s="52">
        <f t="shared" si="108"/>
        <v>0</v>
      </c>
      <c r="J96" s="52">
        <f t="shared" si="109"/>
        <v>0</v>
      </c>
      <c r="K96" s="52">
        <f t="shared" si="110"/>
        <v>0</v>
      </c>
      <c r="L96" s="52">
        <f t="shared" si="111"/>
        <v>0</v>
      </c>
      <c r="M96" s="53">
        <f t="shared" si="112"/>
        <v>0</v>
      </c>
      <c r="N96">
        <f>O96+P88+Q80+R72</f>
        <v>0</v>
      </c>
      <c r="O96">
        <f t="shared" si="114"/>
        <v>0</v>
      </c>
      <c r="P96">
        <f t="shared" si="115"/>
        <v>0</v>
      </c>
      <c r="Q96" s="150">
        <f t="shared" si="116"/>
        <v>0</v>
      </c>
      <c r="R96" s="150">
        <f t="shared" si="117"/>
        <v>0</v>
      </c>
      <c r="S96">
        <f t="shared" si="118"/>
        <v>0</v>
      </c>
      <c r="T96" s="40" t="str">
        <f t="shared" ref="T96:T100" si="120">IF(D96="","",D96*$D$9)</f>
        <v/>
      </c>
      <c r="U96" t="str">
        <f t="shared" ref="U96:U100" si="121">IF(D96="","",E96)</f>
        <v/>
      </c>
      <c r="V96" t="str">
        <f t="shared" ref="V96:V100" si="122">IF(D96="","",D96*(VLOOKUP(C96,$C$45:$M$58,11,FALSE)))</f>
        <v/>
      </c>
      <c r="W96" s="43" t="str">
        <f t="shared" ref="W96:W100" si="123">IF(T96="","",T96*(VLOOKUP(C96,$C$45:$M$58,11,FALSE)))</f>
        <v/>
      </c>
      <c r="Y96" s="147" t="str">
        <f t="shared" si="32"/>
        <v/>
      </c>
      <c r="Z96" s="147" t="str">
        <f t="shared" si="33"/>
        <v/>
      </c>
      <c r="AA96" s="147" t="str">
        <f t="shared" si="34"/>
        <v/>
      </c>
      <c r="AB96" s="147" t="str">
        <f t="shared" si="35"/>
        <v/>
      </c>
      <c r="AC96" s="147" t="str">
        <f t="shared" si="36"/>
        <v/>
      </c>
      <c r="AD96" s="147" t="str">
        <f t="shared" si="37"/>
        <v/>
      </c>
      <c r="AE96" s="147" t="str">
        <f t="shared" si="38"/>
        <v/>
      </c>
      <c r="AF96" s="147" t="str">
        <f t="shared" si="39"/>
        <v/>
      </c>
      <c r="AG96" s="147" t="str">
        <f t="shared" si="40"/>
        <v/>
      </c>
      <c r="AH96" s="147" t="str">
        <f t="shared" si="41"/>
        <v/>
      </c>
      <c r="AI96" s="147" t="str">
        <f t="shared" si="42"/>
        <v/>
      </c>
      <c r="AJ96" s="147" t="str">
        <f t="shared" si="43"/>
        <v/>
      </c>
      <c r="AK96" s="147" t="str">
        <f t="shared" si="44"/>
        <v/>
      </c>
      <c r="AL96" s="147" t="str">
        <f t="shared" si="45"/>
        <v/>
      </c>
    </row>
    <row r="97" spans="1:38" x14ac:dyDescent="0.3">
      <c r="A97" s="196"/>
      <c r="C97" s="200"/>
      <c r="D97" s="201"/>
      <c r="E97" t="str">
        <f>_xlfn.IFNA(VLOOKUP(C97,'Te gebruiken meststoffen'!$R$3:$AC$10,12,FALSE),"")</f>
        <v/>
      </c>
      <c r="F97" s="52">
        <f t="shared" si="106"/>
        <v>0</v>
      </c>
      <c r="G97" s="52">
        <f t="shared" si="119"/>
        <v>0</v>
      </c>
      <c r="H97" s="52">
        <f t="shared" si="107"/>
        <v>0</v>
      </c>
      <c r="I97" s="52">
        <f t="shared" si="108"/>
        <v>0</v>
      </c>
      <c r="J97" s="52">
        <f t="shared" si="109"/>
        <v>0</v>
      </c>
      <c r="K97" s="52">
        <f t="shared" si="110"/>
        <v>0</v>
      </c>
      <c r="L97" s="52">
        <f t="shared" si="111"/>
        <v>0</v>
      </c>
      <c r="M97" s="53">
        <f t="shared" si="112"/>
        <v>0</v>
      </c>
      <c r="N97">
        <f t="shared" si="113"/>
        <v>0</v>
      </c>
      <c r="O97">
        <f t="shared" si="114"/>
        <v>0</v>
      </c>
      <c r="P97">
        <f t="shared" si="115"/>
        <v>0</v>
      </c>
      <c r="Q97" s="150">
        <f t="shared" si="116"/>
        <v>0</v>
      </c>
      <c r="R97" s="150">
        <f t="shared" si="117"/>
        <v>0</v>
      </c>
      <c r="S97">
        <f t="shared" si="118"/>
        <v>0</v>
      </c>
      <c r="T97" s="40" t="str">
        <f t="shared" si="120"/>
        <v/>
      </c>
      <c r="U97" t="str">
        <f t="shared" si="121"/>
        <v/>
      </c>
      <c r="V97" t="str">
        <f t="shared" si="122"/>
        <v/>
      </c>
      <c r="W97" s="43" t="str">
        <f t="shared" si="123"/>
        <v/>
      </c>
      <c r="Y97" s="147" t="str">
        <f t="shared" si="32"/>
        <v/>
      </c>
      <c r="Z97" s="147" t="str">
        <f t="shared" si="33"/>
        <v/>
      </c>
      <c r="AA97" s="147" t="str">
        <f t="shared" si="34"/>
        <v/>
      </c>
      <c r="AB97" s="147" t="str">
        <f t="shared" si="35"/>
        <v/>
      </c>
      <c r="AC97" s="147" t="str">
        <f t="shared" si="36"/>
        <v/>
      </c>
      <c r="AD97" s="147" t="str">
        <f t="shared" si="37"/>
        <v/>
      </c>
      <c r="AE97" s="147" t="str">
        <f t="shared" si="38"/>
        <v/>
      </c>
      <c r="AF97" s="147" t="str">
        <f t="shared" si="39"/>
        <v/>
      </c>
      <c r="AG97" s="147" t="str">
        <f t="shared" si="40"/>
        <v/>
      </c>
      <c r="AH97" s="147" t="str">
        <f t="shared" si="41"/>
        <v/>
      </c>
      <c r="AI97" s="147" t="str">
        <f t="shared" si="42"/>
        <v/>
      </c>
      <c r="AJ97" s="147" t="str">
        <f t="shared" si="43"/>
        <v/>
      </c>
      <c r="AK97" s="147" t="str">
        <f t="shared" si="44"/>
        <v/>
      </c>
      <c r="AL97" s="147" t="str">
        <f t="shared" si="45"/>
        <v/>
      </c>
    </row>
    <row r="98" spans="1:38" x14ac:dyDescent="0.3">
      <c r="A98" s="196"/>
      <c r="C98" s="200"/>
      <c r="D98" s="201"/>
      <c r="E98" t="str">
        <f>_xlfn.IFNA(VLOOKUP(C98,'Te gebruiken meststoffen'!$R$3:$AC$10,12,FALSE),"")</f>
        <v/>
      </c>
      <c r="F98" s="52">
        <f t="shared" si="106"/>
        <v>0</v>
      </c>
      <c r="G98" s="52">
        <f t="shared" si="119"/>
        <v>0</v>
      </c>
      <c r="H98" s="52">
        <f t="shared" si="107"/>
        <v>0</v>
      </c>
      <c r="I98" s="52">
        <f t="shared" si="108"/>
        <v>0</v>
      </c>
      <c r="J98" s="52">
        <f t="shared" si="109"/>
        <v>0</v>
      </c>
      <c r="K98" s="52">
        <f t="shared" si="110"/>
        <v>0</v>
      </c>
      <c r="L98" s="52">
        <f t="shared" si="111"/>
        <v>0</v>
      </c>
      <c r="M98" s="53">
        <f t="shared" si="112"/>
        <v>0</v>
      </c>
      <c r="N98">
        <f t="shared" si="113"/>
        <v>0</v>
      </c>
      <c r="O98">
        <f t="shared" si="114"/>
        <v>0</v>
      </c>
      <c r="P98">
        <f t="shared" si="115"/>
        <v>0</v>
      </c>
      <c r="Q98" s="150">
        <f t="shared" si="116"/>
        <v>0</v>
      </c>
      <c r="R98" s="150">
        <f t="shared" si="117"/>
        <v>0</v>
      </c>
      <c r="S98">
        <f t="shared" si="118"/>
        <v>0</v>
      </c>
      <c r="T98" s="40" t="str">
        <f t="shared" si="120"/>
        <v/>
      </c>
      <c r="U98" t="str">
        <f t="shared" si="121"/>
        <v/>
      </c>
      <c r="V98" t="str">
        <f t="shared" si="122"/>
        <v/>
      </c>
      <c r="W98" s="43" t="str">
        <f t="shared" si="123"/>
        <v/>
      </c>
      <c r="Y98" s="147" t="str">
        <f t="shared" si="32"/>
        <v/>
      </c>
      <c r="Z98" s="147" t="str">
        <f t="shared" si="33"/>
        <v/>
      </c>
      <c r="AA98" s="147" t="str">
        <f t="shared" si="34"/>
        <v/>
      </c>
      <c r="AB98" s="147" t="str">
        <f t="shared" si="35"/>
        <v/>
      </c>
      <c r="AC98" s="147" t="str">
        <f t="shared" si="36"/>
        <v/>
      </c>
      <c r="AD98" s="147" t="str">
        <f t="shared" si="37"/>
        <v/>
      </c>
      <c r="AE98" s="147" t="str">
        <f t="shared" si="38"/>
        <v/>
      </c>
      <c r="AF98" s="147" t="str">
        <f t="shared" si="39"/>
        <v/>
      </c>
      <c r="AG98" s="147" t="str">
        <f t="shared" si="40"/>
        <v/>
      </c>
      <c r="AH98" s="147" t="str">
        <f t="shared" si="41"/>
        <v/>
      </c>
      <c r="AI98" s="147" t="str">
        <f t="shared" si="42"/>
        <v/>
      </c>
      <c r="AJ98" s="147" t="str">
        <f t="shared" si="43"/>
        <v/>
      </c>
      <c r="AK98" s="147" t="str">
        <f t="shared" si="44"/>
        <v/>
      </c>
      <c r="AL98" s="147" t="str">
        <f t="shared" si="45"/>
        <v/>
      </c>
    </row>
    <row r="99" spans="1:38" x14ac:dyDescent="0.3">
      <c r="A99" s="196"/>
      <c r="C99" s="200"/>
      <c r="D99" s="201"/>
      <c r="E99" t="str">
        <f>_xlfn.IFNA(VLOOKUP(C99,'Te gebruiken meststoffen'!$R$3:$AC$10,12,FALSE),"")</f>
        <v/>
      </c>
      <c r="F99" s="52">
        <f t="shared" si="106"/>
        <v>0</v>
      </c>
      <c r="G99" s="52">
        <f t="shared" si="119"/>
        <v>0</v>
      </c>
      <c r="H99" s="52">
        <f t="shared" si="107"/>
        <v>0</v>
      </c>
      <c r="I99" s="52">
        <f t="shared" si="108"/>
        <v>0</v>
      </c>
      <c r="J99" s="52">
        <f t="shared" si="109"/>
        <v>0</v>
      </c>
      <c r="K99" s="52">
        <f t="shared" si="110"/>
        <v>0</v>
      </c>
      <c r="L99" s="52">
        <f t="shared" si="111"/>
        <v>0</v>
      </c>
      <c r="M99" s="53">
        <f t="shared" si="112"/>
        <v>0</v>
      </c>
      <c r="N99">
        <f t="shared" si="113"/>
        <v>0</v>
      </c>
      <c r="O99">
        <f t="shared" si="114"/>
        <v>0</v>
      </c>
      <c r="P99">
        <f t="shared" si="115"/>
        <v>0</v>
      </c>
      <c r="Q99" s="150">
        <f t="shared" si="116"/>
        <v>0</v>
      </c>
      <c r="R99" s="150">
        <f t="shared" si="117"/>
        <v>0</v>
      </c>
      <c r="S99">
        <f t="shared" si="118"/>
        <v>0</v>
      </c>
      <c r="T99" s="40" t="str">
        <f t="shared" si="120"/>
        <v/>
      </c>
      <c r="U99" t="str">
        <f t="shared" si="121"/>
        <v/>
      </c>
      <c r="V99" t="str">
        <f t="shared" si="122"/>
        <v/>
      </c>
      <c r="W99" s="43" t="str">
        <f t="shared" si="123"/>
        <v/>
      </c>
      <c r="Y99" s="147" t="str">
        <f t="shared" si="32"/>
        <v/>
      </c>
      <c r="Z99" s="147" t="str">
        <f t="shared" si="33"/>
        <v/>
      </c>
      <c r="AA99" s="147" t="str">
        <f t="shared" si="34"/>
        <v/>
      </c>
      <c r="AB99" s="147" t="str">
        <f t="shared" si="35"/>
        <v/>
      </c>
      <c r="AC99" s="147" t="str">
        <f t="shared" si="36"/>
        <v/>
      </c>
      <c r="AD99" s="147" t="str">
        <f t="shared" si="37"/>
        <v/>
      </c>
      <c r="AE99" s="147" t="str">
        <f t="shared" si="38"/>
        <v/>
      </c>
      <c r="AF99" s="147" t="str">
        <f t="shared" si="39"/>
        <v/>
      </c>
      <c r="AG99" s="147" t="str">
        <f t="shared" si="40"/>
        <v/>
      </c>
      <c r="AH99" s="147" t="str">
        <f t="shared" si="41"/>
        <v/>
      </c>
      <c r="AI99" s="147" t="str">
        <f t="shared" si="42"/>
        <v/>
      </c>
      <c r="AJ99" s="147" t="str">
        <f t="shared" si="43"/>
        <v/>
      </c>
      <c r="AK99" s="147" t="str">
        <f t="shared" si="44"/>
        <v/>
      </c>
      <c r="AL99" s="147" t="str">
        <f t="shared" si="45"/>
        <v/>
      </c>
    </row>
    <row r="100" spans="1:38" ht="15" thickBot="1" x14ac:dyDescent="0.35">
      <c r="A100" s="197"/>
      <c r="C100" s="200"/>
      <c r="D100" s="201"/>
      <c r="E100" t="str">
        <f>_xlfn.IFNA(VLOOKUP(C100,'Te gebruiken meststoffen'!$R$3:$AC$10,12,FALSE),"")</f>
        <v/>
      </c>
      <c r="F100" s="52">
        <f t="shared" si="106"/>
        <v>0</v>
      </c>
      <c r="G100" s="52">
        <f t="shared" si="119"/>
        <v>0</v>
      </c>
      <c r="H100" s="52">
        <f t="shared" si="107"/>
        <v>0</v>
      </c>
      <c r="I100" s="52">
        <f t="shared" si="108"/>
        <v>0</v>
      </c>
      <c r="J100" s="52">
        <f t="shared" si="109"/>
        <v>0</v>
      </c>
      <c r="K100" s="52">
        <f t="shared" si="110"/>
        <v>0</v>
      </c>
      <c r="L100" s="52">
        <f t="shared" si="111"/>
        <v>0</v>
      </c>
      <c r="M100" s="53">
        <f t="shared" si="112"/>
        <v>0</v>
      </c>
      <c r="N100">
        <f t="shared" si="113"/>
        <v>0</v>
      </c>
      <c r="O100">
        <f t="shared" si="114"/>
        <v>0</v>
      </c>
      <c r="P100">
        <f t="shared" si="115"/>
        <v>0</v>
      </c>
      <c r="Q100" s="150">
        <f t="shared" si="116"/>
        <v>0</v>
      </c>
      <c r="R100" s="150">
        <f t="shared" si="117"/>
        <v>0</v>
      </c>
      <c r="S100">
        <f t="shared" si="118"/>
        <v>0</v>
      </c>
      <c r="T100" s="134" t="str">
        <f t="shared" si="120"/>
        <v/>
      </c>
      <c r="U100" s="131" t="str">
        <f t="shared" si="121"/>
        <v/>
      </c>
      <c r="V100" s="131" t="str">
        <f t="shared" si="122"/>
        <v/>
      </c>
      <c r="W100" s="135" t="str">
        <f t="shared" si="123"/>
        <v/>
      </c>
      <c r="Y100" s="147" t="str">
        <f t="shared" si="32"/>
        <v/>
      </c>
      <c r="Z100" s="147" t="str">
        <f t="shared" si="33"/>
        <v/>
      </c>
      <c r="AA100" s="147" t="str">
        <f t="shared" si="34"/>
        <v/>
      </c>
      <c r="AB100" s="147" t="str">
        <f t="shared" si="35"/>
        <v/>
      </c>
      <c r="AC100" s="147" t="str">
        <f t="shared" si="36"/>
        <v/>
      </c>
      <c r="AD100" s="147" t="str">
        <f t="shared" si="37"/>
        <v/>
      </c>
      <c r="AE100" s="147" t="str">
        <f t="shared" si="38"/>
        <v/>
      </c>
      <c r="AF100" s="147" t="str">
        <f t="shared" si="39"/>
        <v/>
      </c>
      <c r="AG100" s="147" t="str">
        <f t="shared" si="40"/>
        <v/>
      </c>
      <c r="AH100" s="147" t="str">
        <f t="shared" si="41"/>
        <v/>
      </c>
      <c r="AI100" s="147" t="str">
        <f t="shared" si="42"/>
        <v/>
      </c>
      <c r="AJ100" s="147" t="str">
        <f t="shared" si="43"/>
        <v/>
      </c>
      <c r="AK100" s="147" t="str">
        <f t="shared" si="44"/>
        <v/>
      </c>
      <c r="AL100" s="147" t="str">
        <f t="shared" si="45"/>
        <v/>
      </c>
    </row>
    <row r="101" spans="1:38" ht="15" thickBot="1" x14ac:dyDescent="0.35">
      <c r="C101" s="75"/>
      <c r="D101" s="76"/>
      <c r="E101" s="56" t="s">
        <v>508</v>
      </c>
      <c r="F101" s="79">
        <f t="shared" ref="F101:M101" si="124">SUM(F95:F100)</f>
        <v>0</v>
      </c>
      <c r="G101" s="79">
        <f>SUM(G94:G100)</f>
        <v>0</v>
      </c>
      <c r="H101" s="79">
        <f t="shared" si="124"/>
        <v>0</v>
      </c>
      <c r="I101" s="79">
        <f t="shared" si="124"/>
        <v>0</v>
      </c>
      <c r="J101" s="79">
        <f t="shared" si="124"/>
        <v>0</v>
      </c>
      <c r="K101" s="79">
        <f t="shared" si="124"/>
        <v>0</v>
      </c>
      <c r="L101" s="79">
        <f t="shared" si="124"/>
        <v>0</v>
      </c>
      <c r="M101" s="112">
        <f t="shared" si="124"/>
        <v>0</v>
      </c>
      <c r="N101" s="60">
        <f>SUM(O95:O100,P87:P92,Q79:Q84,R71:R76)</f>
        <v>0</v>
      </c>
      <c r="T101" s="138"/>
      <c r="U101" s="139"/>
      <c r="V101" s="139">
        <f>SUM(V95:V100)</f>
        <v>0</v>
      </c>
      <c r="W101" s="140">
        <f>SUM(W95:W100)</f>
        <v>0</v>
      </c>
      <c r="Y101" s="147"/>
      <c r="Z101" s="147"/>
      <c r="AA101" s="147"/>
      <c r="AB101" s="147"/>
      <c r="AC101" s="147"/>
      <c r="AD101" s="147"/>
      <c r="AE101" s="147"/>
      <c r="AF101" s="147"/>
      <c r="AG101" s="147"/>
      <c r="AH101" s="147"/>
      <c r="AI101" s="147"/>
      <c r="AJ101" s="147"/>
      <c r="AK101" s="147"/>
      <c r="AL101" s="147"/>
    </row>
    <row r="102" spans="1:38" ht="15" thickBot="1" x14ac:dyDescent="0.35">
      <c r="A102" s="128" t="s">
        <v>611</v>
      </c>
      <c r="C102" s="128" t="s">
        <v>503</v>
      </c>
      <c r="D102" s="76" t="s">
        <v>620</v>
      </c>
      <c r="E102" s="76"/>
      <c r="F102" s="76"/>
      <c r="G102" s="114">
        <f>N109-SUM(G103:G108)</f>
        <v>0</v>
      </c>
      <c r="H102" s="76"/>
      <c r="I102" s="76"/>
      <c r="J102" s="76"/>
      <c r="K102" s="76"/>
      <c r="L102" s="76"/>
      <c r="M102" s="77"/>
      <c r="S102">
        <f>SUM(S103:S108)</f>
        <v>0</v>
      </c>
      <c r="T102" s="75"/>
      <c r="U102" s="76"/>
      <c r="V102" s="76"/>
      <c r="W102" s="77"/>
      <c r="Y102" s="147"/>
      <c r="Z102" s="147"/>
      <c r="AA102" s="147"/>
      <c r="AB102" s="147"/>
      <c r="AC102" s="147"/>
      <c r="AD102" s="147"/>
      <c r="AE102" s="147"/>
      <c r="AF102" s="147"/>
      <c r="AG102" s="147"/>
      <c r="AH102" s="147"/>
      <c r="AI102" s="147"/>
      <c r="AJ102" s="147"/>
      <c r="AK102" s="147"/>
      <c r="AL102" s="147"/>
    </row>
    <row r="103" spans="1:38" x14ac:dyDescent="0.3">
      <c r="A103" s="195"/>
      <c r="C103" s="198"/>
      <c r="D103" s="199"/>
      <c r="E103" s="35" t="str">
        <f>_xlfn.IFNA(VLOOKUP(C103,'Te gebruiken meststoffen'!$R$3:$AC$10,12,FALSE),"")</f>
        <v/>
      </c>
      <c r="F103" s="50">
        <f t="shared" ref="F103:F108" si="125">D103*(IFERROR(VLOOKUP(C103,$C$45:$Q$58,3,FALSE),0))</f>
        <v>0</v>
      </c>
      <c r="G103" s="50">
        <f>O103</f>
        <v>0</v>
      </c>
      <c r="H103" s="50">
        <f t="shared" ref="H103:H108" si="126">D103*(IFERROR(VLOOKUP(C103,$C$45:$Q$58,5,FALSE),0))</f>
        <v>0</v>
      </c>
      <c r="I103" s="50">
        <f t="shared" ref="I103:I108" si="127">D103*(IFERROR(VLOOKUP(C103,$C$45:$Q$58,6,FALSE),0))</f>
        <v>0</v>
      </c>
      <c r="J103" s="50">
        <f t="shared" ref="J103:J108" si="128">D103*(IFERROR(VLOOKUP(C103,$C$45:$Q$58,7,FALSE),0))</f>
        <v>0</v>
      </c>
      <c r="K103" s="50">
        <f t="shared" ref="K103:K108" si="129">D103*(IFERROR(VLOOKUP(C103,$C$45:$Q$58,8,FALSE),0))</f>
        <v>0</v>
      </c>
      <c r="L103" s="50">
        <f t="shared" ref="L103:L108" si="130">D103*(IFERROR(VLOOKUP(C103,$C$45:$Q$58,9,FALSE),0))</f>
        <v>0</v>
      </c>
      <c r="M103" s="51">
        <f t="shared" ref="M103:M108" si="131">D103*(IFERROR(VLOOKUP(C103,$C$45:$Q$58,10,FALSE),0))</f>
        <v>0</v>
      </c>
      <c r="N103">
        <f>O103+P95+Q87+R79</f>
        <v>0</v>
      </c>
      <c r="O103">
        <f t="shared" ref="O103:O108" si="132">D103*(IFERROR(VLOOKUP(C103,$C$45:$Q$58,12,FALSE),0))</f>
        <v>0</v>
      </c>
      <c r="P103" s="150">
        <f t="shared" ref="P103:P108" si="133">D103*(IFERROR(VLOOKUP(C103,$C$45:$Q$58,13,FALSE),0))</f>
        <v>0</v>
      </c>
      <c r="Q103" s="150">
        <f t="shared" ref="Q103:Q108" si="134">D103*(IFERROR(VLOOKUP(C103,$C$45:$Q$58,14,FALSE),0))</f>
        <v>0</v>
      </c>
      <c r="R103" s="150">
        <f t="shared" ref="R103:R108" si="135">D103*(IFERROR(VLOOKUP(C103,$C$45:$Q$58,15,FALSE),0))</f>
        <v>0</v>
      </c>
      <c r="S103">
        <f t="shared" ref="S103:S108" si="136">IF(F103&gt;0,F103,G103)</f>
        <v>0</v>
      </c>
      <c r="T103" s="34" t="str">
        <f>IF(D103="","",D103*$D$9)</f>
        <v/>
      </c>
      <c r="U103" s="35" t="str">
        <f>IF(D103="","",E103)</f>
        <v/>
      </c>
      <c r="V103" s="35" t="str">
        <f>IF(D103="","",D103*(VLOOKUP(C103,$C$45:$M$58,11,FALSE)))</f>
        <v/>
      </c>
      <c r="W103" s="36" t="str">
        <f>IF(T103="","",T103*(VLOOKUP(C103,$C$45:$M$58,11,FALSE)))</f>
        <v/>
      </c>
      <c r="Y103" s="147" t="str">
        <f t="shared" si="32"/>
        <v/>
      </c>
      <c r="Z103" s="147" t="str">
        <f t="shared" si="33"/>
        <v/>
      </c>
      <c r="AA103" s="147" t="str">
        <f t="shared" si="34"/>
        <v/>
      </c>
      <c r="AB103" s="147" t="str">
        <f t="shared" si="35"/>
        <v/>
      </c>
      <c r="AC103" s="147" t="str">
        <f t="shared" si="36"/>
        <v/>
      </c>
      <c r="AD103" s="147" t="str">
        <f t="shared" si="37"/>
        <v/>
      </c>
      <c r="AE103" s="147" t="str">
        <f t="shared" si="38"/>
        <v/>
      </c>
      <c r="AF103" s="147" t="str">
        <f t="shared" si="39"/>
        <v/>
      </c>
      <c r="AG103" s="147" t="str">
        <f t="shared" si="40"/>
        <v/>
      </c>
      <c r="AH103" s="147" t="str">
        <f t="shared" si="41"/>
        <v/>
      </c>
      <c r="AI103" s="147" t="str">
        <f t="shared" si="42"/>
        <v/>
      </c>
      <c r="AJ103" s="147" t="str">
        <f t="shared" si="43"/>
        <v/>
      </c>
      <c r="AK103" s="147" t="str">
        <f t="shared" si="44"/>
        <v/>
      </c>
      <c r="AL103" s="147" t="str">
        <f t="shared" si="45"/>
        <v/>
      </c>
    </row>
    <row r="104" spans="1:38" x14ac:dyDescent="0.3">
      <c r="A104" s="196"/>
      <c r="C104" s="200"/>
      <c r="D104" s="201"/>
      <c r="E104" t="str">
        <f>_xlfn.IFNA(VLOOKUP(C104,'Te gebruiken meststoffen'!$R$3:$AC$10,12,FALSE),"")</f>
        <v/>
      </c>
      <c r="F104" s="52">
        <f t="shared" si="125"/>
        <v>0</v>
      </c>
      <c r="G104" s="52">
        <f t="shared" ref="G104:G108" si="137">O104</f>
        <v>0</v>
      </c>
      <c r="H104" s="52">
        <f t="shared" si="126"/>
        <v>0</v>
      </c>
      <c r="I104" s="52">
        <f t="shared" si="127"/>
        <v>0</v>
      </c>
      <c r="J104" s="52">
        <f t="shared" si="128"/>
        <v>0</v>
      </c>
      <c r="K104" s="52">
        <f t="shared" si="129"/>
        <v>0</v>
      </c>
      <c r="L104" s="52">
        <f t="shared" si="130"/>
        <v>0</v>
      </c>
      <c r="M104" s="53">
        <f t="shared" si="131"/>
        <v>0</v>
      </c>
      <c r="N104">
        <f>O104+P96+Q88+R80</f>
        <v>0</v>
      </c>
      <c r="O104">
        <f t="shared" si="132"/>
        <v>0</v>
      </c>
      <c r="P104" s="150">
        <f t="shared" si="133"/>
        <v>0</v>
      </c>
      <c r="Q104" s="150">
        <f t="shared" si="134"/>
        <v>0</v>
      </c>
      <c r="R104" s="150">
        <f t="shared" si="135"/>
        <v>0</v>
      </c>
      <c r="S104">
        <f t="shared" si="136"/>
        <v>0</v>
      </c>
      <c r="T104" s="40" t="str">
        <f t="shared" ref="T104:T108" si="138">IF(D104="","",D104*$D$9)</f>
        <v/>
      </c>
      <c r="U104" t="str">
        <f t="shared" ref="U104:U108" si="139">IF(D104="","",E104)</f>
        <v/>
      </c>
      <c r="V104" t="str">
        <f t="shared" ref="V104:V108" si="140">IF(D104="","",D104*(VLOOKUP(C104,$C$45:$M$58,11,FALSE)))</f>
        <v/>
      </c>
      <c r="W104" s="43" t="str">
        <f t="shared" ref="W104:W108" si="141">IF(T104="","",T104*(VLOOKUP(C104,$C$45:$M$58,11,FALSE)))</f>
        <v/>
      </c>
      <c r="Y104" s="147" t="str">
        <f t="shared" si="32"/>
        <v/>
      </c>
      <c r="Z104" s="147" t="str">
        <f t="shared" si="33"/>
        <v/>
      </c>
      <c r="AA104" s="147" t="str">
        <f t="shared" si="34"/>
        <v/>
      </c>
      <c r="AB104" s="147" t="str">
        <f t="shared" si="35"/>
        <v/>
      </c>
      <c r="AC104" s="147" t="str">
        <f t="shared" si="36"/>
        <v/>
      </c>
      <c r="AD104" s="147" t="str">
        <f t="shared" si="37"/>
        <v/>
      </c>
      <c r="AE104" s="147" t="str">
        <f t="shared" si="38"/>
        <v/>
      </c>
      <c r="AF104" s="147" t="str">
        <f t="shared" si="39"/>
        <v/>
      </c>
      <c r="AG104" s="147" t="str">
        <f t="shared" si="40"/>
        <v/>
      </c>
      <c r="AH104" s="147" t="str">
        <f t="shared" si="41"/>
        <v/>
      </c>
      <c r="AI104" s="147" t="str">
        <f t="shared" si="42"/>
        <v/>
      </c>
      <c r="AJ104" s="147" t="str">
        <f t="shared" si="43"/>
        <v/>
      </c>
      <c r="AK104" s="147" t="str">
        <f t="shared" si="44"/>
        <v/>
      </c>
      <c r="AL104" s="147" t="str">
        <f t="shared" si="45"/>
        <v/>
      </c>
    </row>
    <row r="105" spans="1:38" x14ac:dyDescent="0.3">
      <c r="A105" s="196"/>
      <c r="C105" s="200"/>
      <c r="D105" s="201"/>
      <c r="E105" t="str">
        <f>_xlfn.IFNA(VLOOKUP(C105,'Te gebruiken meststoffen'!$R$3:$AC$10,12,FALSE),"")</f>
        <v/>
      </c>
      <c r="F105" s="52">
        <f t="shared" si="125"/>
        <v>0</v>
      </c>
      <c r="G105" s="52">
        <f t="shared" si="137"/>
        <v>0</v>
      </c>
      <c r="H105" s="52">
        <f t="shared" si="126"/>
        <v>0</v>
      </c>
      <c r="I105" s="52">
        <f t="shared" si="127"/>
        <v>0</v>
      </c>
      <c r="J105" s="52">
        <f t="shared" si="128"/>
        <v>0</v>
      </c>
      <c r="K105" s="52">
        <f t="shared" si="129"/>
        <v>0</v>
      </c>
      <c r="L105" s="52">
        <f t="shared" si="130"/>
        <v>0</v>
      </c>
      <c r="M105" s="53">
        <f t="shared" si="131"/>
        <v>0</v>
      </c>
      <c r="N105">
        <f>O105+P97+Q89+R81</f>
        <v>0</v>
      </c>
      <c r="O105">
        <f t="shared" si="132"/>
        <v>0</v>
      </c>
      <c r="P105" s="150">
        <f t="shared" si="133"/>
        <v>0</v>
      </c>
      <c r="Q105" s="150">
        <f t="shared" si="134"/>
        <v>0</v>
      </c>
      <c r="R105" s="150">
        <f t="shared" si="135"/>
        <v>0</v>
      </c>
      <c r="S105">
        <f t="shared" si="136"/>
        <v>0</v>
      </c>
      <c r="T105" s="40" t="str">
        <f t="shared" si="138"/>
        <v/>
      </c>
      <c r="U105" t="str">
        <f t="shared" si="139"/>
        <v/>
      </c>
      <c r="V105" t="str">
        <f t="shared" si="140"/>
        <v/>
      </c>
      <c r="W105" s="43" t="str">
        <f t="shared" si="141"/>
        <v/>
      </c>
      <c r="Y105" s="147" t="str">
        <f t="shared" si="32"/>
        <v/>
      </c>
      <c r="Z105" s="147" t="str">
        <f t="shared" si="33"/>
        <v/>
      </c>
      <c r="AA105" s="147" t="str">
        <f t="shared" si="34"/>
        <v/>
      </c>
      <c r="AB105" s="147" t="str">
        <f t="shared" si="35"/>
        <v/>
      </c>
      <c r="AC105" s="147" t="str">
        <f t="shared" si="36"/>
        <v/>
      </c>
      <c r="AD105" s="147" t="str">
        <f t="shared" si="37"/>
        <v/>
      </c>
      <c r="AE105" s="147" t="str">
        <f t="shared" si="38"/>
        <v/>
      </c>
      <c r="AF105" s="147" t="str">
        <f t="shared" si="39"/>
        <v/>
      </c>
      <c r="AG105" s="147" t="str">
        <f t="shared" si="40"/>
        <v/>
      </c>
      <c r="AH105" s="147" t="str">
        <f t="shared" si="41"/>
        <v/>
      </c>
      <c r="AI105" s="147" t="str">
        <f t="shared" si="42"/>
        <v/>
      </c>
      <c r="AJ105" s="147" t="str">
        <f t="shared" si="43"/>
        <v/>
      </c>
      <c r="AK105" s="147" t="str">
        <f t="shared" si="44"/>
        <v/>
      </c>
      <c r="AL105" s="147" t="str">
        <f t="shared" si="45"/>
        <v/>
      </c>
    </row>
    <row r="106" spans="1:38" x14ac:dyDescent="0.3">
      <c r="A106" s="196"/>
      <c r="C106" s="200"/>
      <c r="D106" s="201"/>
      <c r="E106" t="str">
        <f>_xlfn.IFNA(VLOOKUP(C106,'Te gebruiken meststoffen'!$R$3:$AC$10,12,FALSE),"")</f>
        <v/>
      </c>
      <c r="F106" s="52">
        <f t="shared" si="125"/>
        <v>0</v>
      </c>
      <c r="G106" s="52">
        <f t="shared" si="137"/>
        <v>0</v>
      </c>
      <c r="H106" s="52">
        <f t="shared" si="126"/>
        <v>0</v>
      </c>
      <c r="I106" s="52">
        <f t="shared" si="127"/>
        <v>0</v>
      </c>
      <c r="J106" s="52">
        <f t="shared" si="128"/>
        <v>0</v>
      </c>
      <c r="K106" s="52">
        <f t="shared" si="129"/>
        <v>0</v>
      </c>
      <c r="L106" s="52">
        <f t="shared" si="130"/>
        <v>0</v>
      </c>
      <c r="M106" s="53">
        <f t="shared" si="131"/>
        <v>0</v>
      </c>
      <c r="N106">
        <f t="shared" ref="N106:N107" si="142">O106+P98+Q90+R82</f>
        <v>0</v>
      </c>
      <c r="O106">
        <f t="shared" si="132"/>
        <v>0</v>
      </c>
      <c r="P106" s="150">
        <f t="shared" si="133"/>
        <v>0</v>
      </c>
      <c r="Q106" s="150">
        <f t="shared" si="134"/>
        <v>0</v>
      </c>
      <c r="R106" s="150">
        <f t="shared" si="135"/>
        <v>0</v>
      </c>
      <c r="S106">
        <f t="shared" si="136"/>
        <v>0</v>
      </c>
      <c r="T106" s="40" t="str">
        <f t="shared" si="138"/>
        <v/>
      </c>
      <c r="U106" t="str">
        <f t="shared" si="139"/>
        <v/>
      </c>
      <c r="V106" t="str">
        <f t="shared" si="140"/>
        <v/>
      </c>
      <c r="W106" s="43" t="str">
        <f t="shared" si="141"/>
        <v/>
      </c>
      <c r="Y106" s="147" t="str">
        <f t="shared" si="32"/>
        <v/>
      </c>
      <c r="Z106" s="147" t="str">
        <f t="shared" si="33"/>
        <v/>
      </c>
      <c r="AA106" s="147" t="str">
        <f t="shared" si="34"/>
        <v/>
      </c>
      <c r="AB106" s="147" t="str">
        <f t="shared" si="35"/>
        <v/>
      </c>
      <c r="AC106" s="147" t="str">
        <f t="shared" si="36"/>
        <v/>
      </c>
      <c r="AD106" s="147" t="str">
        <f t="shared" si="37"/>
        <v/>
      </c>
      <c r="AE106" s="147" t="str">
        <f t="shared" si="38"/>
        <v/>
      </c>
      <c r="AF106" s="147" t="str">
        <f t="shared" si="39"/>
        <v/>
      </c>
      <c r="AG106" s="147" t="str">
        <f t="shared" si="40"/>
        <v/>
      </c>
      <c r="AH106" s="147" t="str">
        <f t="shared" si="41"/>
        <v/>
      </c>
      <c r="AI106" s="147" t="str">
        <f t="shared" si="42"/>
        <v/>
      </c>
      <c r="AJ106" s="147" t="str">
        <f t="shared" si="43"/>
        <v/>
      </c>
      <c r="AK106" s="147" t="str">
        <f t="shared" si="44"/>
        <v/>
      </c>
      <c r="AL106" s="147" t="str">
        <f t="shared" si="45"/>
        <v/>
      </c>
    </row>
    <row r="107" spans="1:38" x14ac:dyDescent="0.3">
      <c r="A107" s="196"/>
      <c r="C107" s="200"/>
      <c r="D107" s="201"/>
      <c r="E107" t="str">
        <f>_xlfn.IFNA(VLOOKUP(C107,'Te gebruiken meststoffen'!$R$3:$AC$10,12,FALSE),"")</f>
        <v/>
      </c>
      <c r="F107" s="52">
        <f t="shared" si="125"/>
        <v>0</v>
      </c>
      <c r="G107" s="52">
        <f t="shared" si="137"/>
        <v>0</v>
      </c>
      <c r="H107" s="52">
        <f t="shared" si="126"/>
        <v>0</v>
      </c>
      <c r="I107" s="52">
        <f t="shared" si="127"/>
        <v>0</v>
      </c>
      <c r="J107" s="52">
        <f t="shared" si="128"/>
        <v>0</v>
      </c>
      <c r="K107" s="52">
        <f t="shared" si="129"/>
        <v>0</v>
      </c>
      <c r="L107" s="52">
        <f t="shared" si="130"/>
        <v>0</v>
      </c>
      <c r="M107" s="53">
        <f t="shared" si="131"/>
        <v>0</v>
      </c>
      <c r="N107">
        <f t="shared" si="142"/>
        <v>0</v>
      </c>
      <c r="O107">
        <f t="shared" si="132"/>
        <v>0</v>
      </c>
      <c r="P107" s="150">
        <f t="shared" si="133"/>
        <v>0</v>
      </c>
      <c r="Q107" s="150">
        <f t="shared" si="134"/>
        <v>0</v>
      </c>
      <c r="R107" s="150">
        <f t="shared" si="135"/>
        <v>0</v>
      </c>
      <c r="S107">
        <f t="shared" si="136"/>
        <v>0</v>
      </c>
      <c r="T107" s="40" t="str">
        <f t="shared" si="138"/>
        <v/>
      </c>
      <c r="U107" t="str">
        <f t="shared" si="139"/>
        <v/>
      </c>
      <c r="V107" t="str">
        <f t="shared" si="140"/>
        <v/>
      </c>
      <c r="W107" s="43" t="str">
        <f t="shared" si="141"/>
        <v/>
      </c>
      <c r="Y107" s="147" t="str">
        <f t="shared" si="32"/>
        <v/>
      </c>
      <c r="Z107" s="147" t="str">
        <f t="shared" si="33"/>
        <v/>
      </c>
      <c r="AA107" s="147" t="str">
        <f t="shared" si="34"/>
        <v/>
      </c>
      <c r="AB107" s="147" t="str">
        <f t="shared" si="35"/>
        <v/>
      </c>
      <c r="AC107" s="147" t="str">
        <f t="shared" si="36"/>
        <v/>
      </c>
      <c r="AD107" s="147" t="str">
        <f t="shared" si="37"/>
        <v/>
      </c>
      <c r="AE107" s="147" t="str">
        <f t="shared" si="38"/>
        <v/>
      </c>
      <c r="AF107" s="147" t="str">
        <f t="shared" si="39"/>
        <v/>
      </c>
      <c r="AG107" s="147" t="str">
        <f t="shared" si="40"/>
        <v/>
      </c>
      <c r="AH107" s="147" t="str">
        <f t="shared" si="41"/>
        <v/>
      </c>
      <c r="AI107" s="147" t="str">
        <f t="shared" si="42"/>
        <v/>
      </c>
      <c r="AJ107" s="147" t="str">
        <f t="shared" si="43"/>
        <v/>
      </c>
      <c r="AK107" s="147" t="str">
        <f t="shared" si="44"/>
        <v/>
      </c>
      <c r="AL107" s="147" t="str">
        <f t="shared" si="45"/>
        <v/>
      </c>
    </row>
    <row r="108" spans="1:38" ht="15" thickBot="1" x14ac:dyDescent="0.35">
      <c r="A108" s="197"/>
      <c r="C108" s="200"/>
      <c r="D108" s="201"/>
      <c r="E108" t="str">
        <f>_xlfn.IFNA(VLOOKUP(C108,'Te gebruiken meststoffen'!$R$3:$AC$10,12,FALSE),"")</f>
        <v/>
      </c>
      <c r="F108" s="52">
        <f t="shared" si="125"/>
        <v>0</v>
      </c>
      <c r="G108" s="52">
        <f t="shared" si="137"/>
        <v>0</v>
      </c>
      <c r="H108" s="52">
        <f t="shared" si="126"/>
        <v>0</v>
      </c>
      <c r="I108" s="52">
        <f t="shared" si="127"/>
        <v>0</v>
      </c>
      <c r="J108" s="52">
        <f t="shared" si="128"/>
        <v>0</v>
      </c>
      <c r="K108" s="52">
        <f t="shared" si="129"/>
        <v>0</v>
      </c>
      <c r="L108" s="52">
        <f t="shared" si="130"/>
        <v>0</v>
      </c>
      <c r="M108" s="53">
        <f t="shared" si="131"/>
        <v>0</v>
      </c>
      <c r="N108">
        <f>O108+P100+Q92+R84</f>
        <v>0</v>
      </c>
      <c r="O108">
        <f t="shared" si="132"/>
        <v>0</v>
      </c>
      <c r="P108" s="150">
        <f t="shared" si="133"/>
        <v>0</v>
      </c>
      <c r="Q108" s="150">
        <f t="shared" si="134"/>
        <v>0</v>
      </c>
      <c r="R108" s="150">
        <f t="shared" si="135"/>
        <v>0</v>
      </c>
      <c r="S108">
        <f t="shared" si="136"/>
        <v>0</v>
      </c>
      <c r="T108" s="134" t="str">
        <f t="shared" si="138"/>
        <v/>
      </c>
      <c r="U108" s="131" t="str">
        <f t="shared" si="139"/>
        <v/>
      </c>
      <c r="V108" s="131" t="str">
        <f t="shared" si="140"/>
        <v/>
      </c>
      <c r="W108" s="135" t="str">
        <f t="shared" si="141"/>
        <v/>
      </c>
      <c r="Y108" s="147" t="str">
        <f t="shared" si="32"/>
        <v/>
      </c>
      <c r="Z108" s="147" t="str">
        <f t="shared" si="33"/>
        <v/>
      </c>
      <c r="AA108" s="147" t="str">
        <f t="shared" si="34"/>
        <v/>
      </c>
      <c r="AB108" s="147" t="str">
        <f t="shared" si="35"/>
        <v/>
      </c>
      <c r="AC108" s="147" t="str">
        <f t="shared" si="36"/>
        <v/>
      </c>
      <c r="AD108" s="147" t="str">
        <f t="shared" si="37"/>
        <v/>
      </c>
      <c r="AE108" s="147" t="str">
        <f t="shared" si="38"/>
        <v/>
      </c>
      <c r="AF108" s="147" t="str">
        <f t="shared" si="39"/>
        <v/>
      </c>
      <c r="AG108" s="147" t="str">
        <f t="shared" si="40"/>
        <v/>
      </c>
      <c r="AH108" s="147" t="str">
        <f t="shared" si="41"/>
        <v/>
      </c>
      <c r="AI108" s="147" t="str">
        <f t="shared" si="42"/>
        <v/>
      </c>
      <c r="AJ108" s="147" t="str">
        <f t="shared" si="43"/>
        <v/>
      </c>
      <c r="AK108" s="147" t="str">
        <f t="shared" si="44"/>
        <v/>
      </c>
      <c r="AL108" s="147" t="str">
        <f t="shared" si="45"/>
        <v/>
      </c>
    </row>
    <row r="109" spans="1:38" ht="15" thickBot="1" x14ac:dyDescent="0.35">
      <c r="C109" s="75"/>
      <c r="D109" s="76"/>
      <c r="E109" s="56" t="s">
        <v>509</v>
      </c>
      <c r="F109" s="56">
        <f t="shared" ref="F109:M109" si="143">SUM(F103:F108)</f>
        <v>0</v>
      </c>
      <c r="G109" s="79">
        <f>SUM(G102:G108)</f>
        <v>0</v>
      </c>
      <c r="H109" s="56">
        <f t="shared" si="143"/>
        <v>0</v>
      </c>
      <c r="I109" s="56">
        <f t="shared" si="143"/>
        <v>0</v>
      </c>
      <c r="J109" s="56">
        <f t="shared" si="143"/>
        <v>0</v>
      </c>
      <c r="K109" s="56">
        <f t="shared" si="143"/>
        <v>0</v>
      </c>
      <c r="L109" s="56">
        <f t="shared" si="143"/>
        <v>0</v>
      </c>
      <c r="M109" s="80">
        <f t="shared" si="143"/>
        <v>0</v>
      </c>
      <c r="N109" s="60">
        <f>SUM(O103:O108,P95:P100,Q87:Q92,R79:R84)</f>
        <v>0</v>
      </c>
      <c r="T109" s="138"/>
      <c r="U109" s="139"/>
      <c r="V109" s="139">
        <f>SUM(V103:V108)</f>
        <v>0</v>
      </c>
      <c r="W109" s="140">
        <f>SUM(W103:W108)</f>
        <v>0</v>
      </c>
      <c r="Y109" s="147">
        <f t="shared" ref="Y109:AL109" si="144">SUM(Y63:Y108)</f>
        <v>0</v>
      </c>
      <c r="Z109" s="147">
        <f t="shared" si="144"/>
        <v>0</v>
      </c>
      <c r="AA109" s="147">
        <f t="shared" si="144"/>
        <v>0</v>
      </c>
      <c r="AB109" s="147">
        <f t="shared" si="144"/>
        <v>0</v>
      </c>
      <c r="AC109" s="147">
        <f t="shared" si="144"/>
        <v>0</v>
      </c>
      <c r="AD109" s="147">
        <f t="shared" si="144"/>
        <v>0</v>
      </c>
      <c r="AE109" s="147">
        <f t="shared" si="144"/>
        <v>0</v>
      </c>
      <c r="AF109" s="147">
        <f t="shared" si="144"/>
        <v>0</v>
      </c>
      <c r="AG109" s="147">
        <f t="shared" si="144"/>
        <v>0</v>
      </c>
      <c r="AH109" s="147">
        <f t="shared" si="144"/>
        <v>0</v>
      </c>
      <c r="AI109" s="147">
        <f t="shared" si="144"/>
        <v>0</v>
      </c>
      <c r="AJ109" s="147">
        <f t="shared" si="144"/>
        <v>0</v>
      </c>
      <c r="AK109" s="147">
        <f t="shared" si="144"/>
        <v>0</v>
      </c>
      <c r="AL109" s="147">
        <f t="shared" si="144"/>
        <v>0</v>
      </c>
    </row>
    <row r="110" spans="1:38" ht="19.8" thickBot="1" x14ac:dyDescent="0.35">
      <c r="E110" s="136"/>
      <c r="F110" s="48" t="s">
        <v>470</v>
      </c>
      <c r="G110" s="48" t="s">
        <v>400</v>
      </c>
      <c r="H110" s="48" t="s">
        <v>414</v>
      </c>
      <c r="I110" s="48" t="s">
        <v>415</v>
      </c>
      <c r="J110" s="48" t="s">
        <v>416</v>
      </c>
      <c r="K110" s="48" t="s">
        <v>417</v>
      </c>
      <c r="L110" s="48" t="s">
        <v>418</v>
      </c>
      <c r="M110" s="57" t="s">
        <v>419</v>
      </c>
      <c r="N110" s="60"/>
      <c r="O110" t="s">
        <v>621</v>
      </c>
      <c r="S110" t="s">
        <v>609</v>
      </c>
      <c r="V110" s="142" t="s">
        <v>614</v>
      </c>
      <c r="W110" s="141" t="s">
        <v>616</v>
      </c>
    </row>
    <row r="111" spans="1:38" ht="15" thickBot="1" x14ac:dyDescent="0.35">
      <c r="E111" s="94" t="s">
        <v>518</v>
      </c>
      <c r="F111" s="145">
        <f>SUM(F69,F77,F85,F93,F101,F109)</f>
        <v>0</v>
      </c>
      <c r="G111" s="50">
        <f>SUM(G69,G77,G85,G93,G101,G109,O111)</f>
        <v>0</v>
      </c>
      <c r="H111" s="50">
        <f t="shared" ref="H111:M111" si="145">SUM(H69,H77,H85,H93,H101,H109)</f>
        <v>0</v>
      </c>
      <c r="I111" s="50">
        <f t="shared" si="145"/>
        <v>0</v>
      </c>
      <c r="J111" s="50">
        <f t="shared" si="145"/>
        <v>0</v>
      </c>
      <c r="K111" s="50">
        <f t="shared" si="145"/>
        <v>0</v>
      </c>
      <c r="L111" s="50">
        <f t="shared" si="145"/>
        <v>0</v>
      </c>
      <c r="M111" s="51">
        <f t="shared" si="145"/>
        <v>0</v>
      </c>
      <c r="O111" s="52">
        <f>SUM(P103:R108,Q95:R100,R87:R92)</f>
        <v>0</v>
      </c>
      <c r="S111">
        <f>SUM(S102,S94,S86,S78,S70,S69)</f>
        <v>0</v>
      </c>
      <c r="U111" s="115" t="s">
        <v>617</v>
      </c>
      <c r="V111" s="75">
        <f>SUM(V109,V101,V93,V85,V77,V69,)</f>
        <v>0</v>
      </c>
      <c r="W111" s="77">
        <f>SUM(W109,W101,W93,W85,W77,W69,)</f>
        <v>0</v>
      </c>
    </row>
    <row r="112" spans="1:38" hidden="1" x14ac:dyDescent="0.3">
      <c r="B112" t="s">
        <v>516</v>
      </c>
      <c r="E112" s="143" t="s">
        <v>520</v>
      </c>
      <c r="F112" s="40"/>
      <c r="G112" t="str">
        <f t="shared" ref="G112:M112" si="146">IF(D35="",D34,D35)</f>
        <v/>
      </c>
      <c r="H112" t="str">
        <f t="shared" si="146"/>
        <v/>
      </c>
      <c r="I112" t="str">
        <f t="shared" si="146"/>
        <v/>
      </c>
      <c r="J112" t="str">
        <f t="shared" si="146"/>
        <v/>
      </c>
      <c r="K112" t="str">
        <f t="shared" si="146"/>
        <v/>
      </c>
      <c r="L112" t="str">
        <f t="shared" si="146"/>
        <v/>
      </c>
      <c r="M112" s="43" t="str">
        <f t="shared" si="146"/>
        <v/>
      </c>
    </row>
    <row r="113" spans="1:19" hidden="1" x14ac:dyDescent="0.3">
      <c r="B113" t="s">
        <v>516</v>
      </c>
      <c r="E113" s="95" t="s">
        <v>519</v>
      </c>
      <c r="F113" s="40"/>
      <c r="G113" s="52" t="str">
        <f t="shared" ref="G113:J113" si="147">IF(G112=0,100,IF(G112="","",100*(G111/G112)))</f>
        <v/>
      </c>
      <c r="H113" s="52" t="str">
        <f t="shared" si="147"/>
        <v/>
      </c>
      <c r="I113" s="52" t="str">
        <f t="shared" si="147"/>
        <v/>
      </c>
      <c r="J113" s="52" t="str">
        <f t="shared" si="147"/>
        <v/>
      </c>
      <c r="K113" s="52" t="str">
        <f>IF(K112=0,100,IF(K112="","",100*(K111/K112)))</f>
        <v/>
      </c>
      <c r="L113" s="52" t="str">
        <f>IF(L112=0,100,IF(L112="","",100*(L111/L112)))</f>
        <v/>
      </c>
      <c r="M113" s="53" t="str">
        <f>IF(M112=0,100,IF(M112="","",100*(M111/M112)))</f>
        <v/>
      </c>
    </row>
    <row r="114" spans="1:19" hidden="1" x14ac:dyDescent="0.3">
      <c r="B114" t="s">
        <v>517</v>
      </c>
      <c r="E114" s="143" t="s">
        <v>529</v>
      </c>
      <c r="F114" s="40"/>
      <c r="G114" s="52">
        <f t="shared" ref="G114:M114" si="148">D31</f>
        <v>0</v>
      </c>
      <c r="H114" s="52">
        <f t="shared" si="148"/>
        <v>0</v>
      </c>
      <c r="I114" s="52">
        <f t="shared" si="148"/>
        <v>0</v>
      </c>
      <c r="J114" s="52">
        <f t="shared" si="148"/>
        <v>0</v>
      </c>
      <c r="K114" s="52">
        <f t="shared" si="148"/>
        <v>0</v>
      </c>
      <c r="L114" s="52">
        <f t="shared" si="148"/>
        <v>0</v>
      </c>
      <c r="M114" s="53">
        <f t="shared" si="148"/>
        <v>0</v>
      </c>
    </row>
    <row r="115" spans="1:19" hidden="1" x14ac:dyDescent="0.3">
      <c r="B115" t="s">
        <v>517</v>
      </c>
      <c r="E115" s="95" t="s">
        <v>519</v>
      </c>
      <c r="F115" s="40"/>
      <c r="G115" s="52">
        <f t="shared" ref="G115:J115" si="149">IF(G114=0,100,IF(G114="","",100*(G111/G114)))</f>
        <v>100</v>
      </c>
      <c r="H115" s="52">
        <f t="shared" si="149"/>
        <v>100</v>
      </c>
      <c r="I115" s="52">
        <f t="shared" si="149"/>
        <v>100</v>
      </c>
      <c r="J115" s="52">
        <f t="shared" si="149"/>
        <v>100</v>
      </c>
      <c r="K115" s="52">
        <f>IF(K114=0,100,IF(K114="","",100*(K111/K114)))</f>
        <v>100</v>
      </c>
      <c r="L115" s="52">
        <f t="shared" ref="L115:M115" si="150">IF(L114=0,100,IF(L114="","",100*(L111/L114)))</f>
        <v>100</v>
      </c>
      <c r="M115" s="53">
        <f t="shared" si="150"/>
        <v>100</v>
      </c>
    </row>
    <row r="116" spans="1:19" hidden="1" x14ac:dyDescent="0.3">
      <c r="E116" s="95"/>
      <c r="F116" s="40"/>
      <c r="G116" s="83">
        <v>100</v>
      </c>
      <c r="H116" s="83">
        <v>100</v>
      </c>
      <c r="I116" s="83">
        <v>100</v>
      </c>
      <c r="J116" s="83">
        <v>100</v>
      </c>
      <c r="K116" s="83">
        <v>100</v>
      </c>
      <c r="L116" s="83">
        <v>100</v>
      </c>
      <c r="M116" s="137">
        <v>100</v>
      </c>
    </row>
    <row r="117" spans="1:19" x14ac:dyDescent="0.3">
      <c r="B117" t="str" cm="1">
        <f t="array" ref="B117:M118">_xlfn._xlws.FILTER(B112:M115,B112:B115=C20)</f>
        <v>Per jaar</v>
      </c>
      <c r="C117">
        <v>0</v>
      </c>
      <c r="D117">
        <v>0</v>
      </c>
      <c r="E117" s="143" t="str">
        <v>ADVIES</v>
      </c>
      <c r="F117" s="40">
        <v>0</v>
      </c>
      <c r="G117" s="52" t="str">
        <v/>
      </c>
      <c r="H117" s="52" t="str">
        <v/>
      </c>
      <c r="I117" s="52" t="str">
        <v/>
      </c>
      <c r="J117" s="52" t="str">
        <v/>
      </c>
      <c r="K117" s="52" t="str">
        <v/>
      </c>
      <c r="L117" s="52" t="str">
        <v/>
      </c>
      <c r="M117" s="53" t="str">
        <v/>
      </c>
    </row>
    <row r="118" spans="1:19" ht="13.95" customHeight="1" thickBot="1" x14ac:dyDescent="0.35">
      <c r="B118" t="str">
        <v>Per jaar</v>
      </c>
      <c r="C118">
        <v>0</v>
      </c>
      <c r="D118">
        <v>0</v>
      </c>
      <c r="E118" s="96" t="str">
        <v>Percentage van advies bemest</v>
      </c>
      <c r="F118" s="37">
        <v>0</v>
      </c>
      <c r="G118" s="54" t="str">
        <v/>
      </c>
      <c r="H118" s="54" t="str">
        <v/>
      </c>
      <c r="I118" s="54" t="str">
        <v/>
      </c>
      <c r="J118" s="54" t="str">
        <v/>
      </c>
      <c r="K118" s="54" t="str">
        <v/>
      </c>
      <c r="L118" s="54" t="str">
        <v/>
      </c>
      <c r="M118" s="55" t="str">
        <v/>
      </c>
    </row>
    <row r="119" spans="1:19" hidden="1" x14ac:dyDescent="0.3">
      <c r="G119" s="127">
        <v>100</v>
      </c>
      <c r="H119" s="127">
        <v>100</v>
      </c>
      <c r="I119" s="127">
        <v>100</v>
      </c>
      <c r="J119" s="127">
        <v>100</v>
      </c>
      <c r="K119" s="127">
        <v>100</v>
      </c>
      <c r="L119" s="127">
        <v>100</v>
      </c>
      <c r="M119" s="127">
        <v>100</v>
      </c>
    </row>
    <row r="120" spans="1:19" x14ac:dyDescent="0.3">
      <c r="E120" s="42" t="str">
        <f>IF(_xlfn.CONCAT(E121:M124)="","","Waarschuwingen:")</f>
        <v/>
      </c>
      <c r="G120" s="151">
        <v>100</v>
      </c>
      <c r="H120" s="151">
        <v>100</v>
      </c>
      <c r="I120" s="151">
        <v>100</v>
      </c>
      <c r="J120" s="151">
        <v>100</v>
      </c>
      <c r="K120" s="151">
        <v>100</v>
      </c>
      <c r="L120" s="151">
        <v>100</v>
      </c>
      <c r="M120" s="151">
        <v>100</v>
      </c>
      <c r="N120" s="52">
        <v>100</v>
      </c>
      <c r="O120" s="52">
        <v>100</v>
      </c>
      <c r="P120" s="52">
        <v>100</v>
      </c>
      <c r="Q120" s="52">
        <v>100</v>
      </c>
      <c r="R120" s="52">
        <v>100</v>
      </c>
      <c r="S120" s="52">
        <v>100</v>
      </c>
    </row>
    <row r="121" spans="1:19" x14ac:dyDescent="0.3">
      <c r="E121" s="219" t="str">
        <f>IF(O111&gt;0,_xlfn.CONCAT("Er komt vermoedelijk nog ",O111," kg N vrij na het nemen van de laatste snede. Zet de meststof met langere vrijgave best wat eerder in voor een betere N-benutting en het verlagen van uitspoeling."),"")</f>
        <v/>
      </c>
      <c r="F121" s="219"/>
      <c r="G121" s="219"/>
      <c r="H121" s="219"/>
      <c r="I121" s="219"/>
      <c r="J121" s="219"/>
      <c r="K121" s="219"/>
      <c r="L121" s="219"/>
      <c r="M121" s="219"/>
      <c r="N121" s="52"/>
      <c r="O121" s="52"/>
      <c r="P121" s="52"/>
      <c r="Q121" s="52"/>
      <c r="R121" s="52"/>
      <c r="S121" s="52"/>
    </row>
    <row r="122" spans="1:19" ht="14.4" customHeight="1" x14ac:dyDescent="0.3">
      <c r="E122" s="212" t="str">
        <f>IF(F111&gt;C16,"Let op dat u niet teveel dierlijke stikstof op het grasland brengt! De norm is 170, maar op perceelsniveau kan tot maximaal 150% (255 kg Ndier) worden afgeweken, indien er op bedrijfsniveau wel aan de 170 wordt voldaan.","")</f>
        <v/>
      </c>
      <c r="F122" s="212"/>
      <c r="G122" s="212"/>
      <c r="H122" s="212"/>
      <c r="I122" s="212"/>
      <c r="J122" s="212"/>
      <c r="K122" s="212"/>
      <c r="L122" s="212"/>
      <c r="M122" s="212"/>
      <c r="N122" s="52"/>
      <c r="O122" s="52"/>
      <c r="P122" s="52"/>
      <c r="Q122" s="52"/>
      <c r="R122" s="52"/>
      <c r="S122" s="52"/>
    </row>
    <row r="123" spans="1:19" ht="15" customHeight="1" x14ac:dyDescent="0.3">
      <c r="E123" s="212" t="str">
        <f>IF(G111&gt;D16,_xlfn.CONCAT("Let op dat u niet teveel werkzame stikstof op het grasland brengt! De norm is ",D16,", maar op perceelsniveau kan tot maximaal 125% (",D16*1.25," kg Nwerkzaam) worden afgeweken, indien er op bedrijfsniveau wel aan de normen wordt voldaan."),"")</f>
        <v/>
      </c>
      <c r="F123" s="212"/>
      <c r="G123" s="212"/>
      <c r="H123" s="212"/>
      <c r="I123" s="212"/>
      <c r="J123" s="212"/>
      <c r="K123" s="212"/>
      <c r="L123" s="212"/>
      <c r="M123" s="212"/>
      <c r="N123" s="52"/>
      <c r="O123" s="52"/>
      <c r="P123" s="52"/>
      <c r="Q123" s="52"/>
      <c r="R123" s="52"/>
      <c r="S123" s="52"/>
    </row>
    <row r="124" spans="1:19" ht="16.8" customHeight="1" x14ac:dyDescent="0.3">
      <c r="E124" s="212" t="str">
        <f>IF(H111&gt;E16,_xlfn.CONCAT("Pas op u overschrijdt de fosfaatnorm van ",E16," kg ",E15," voor dit perceel."),"")</f>
        <v/>
      </c>
      <c r="F124" s="212"/>
      <c r="G124" s="212"/>
      <c r="H124" s="212"/>
      <c r="I124" s="212"/>
      <c r="J124" s="212"/>
      <c r="K124" s="212"/>
      <c r="L124" s="212"/>
      <c r="M124" s="212"/>
      <c r="N124" s="52"/>
      <c r="O124" s="52"/>
      <c r="P124" s="52"/>
      <c r="Q124" s="52"/>
      <c r="R124" s="52"/>
      <c r="S124" s="52"/>
    </row>
    <row r="125" spans="1:19" x14ac:dyDescent="0.3">
      <c r="A125" s="52"/>
      <c r="E125" s="4" t="s">
        <v>521</v>
      </c>
    </row>
    <row r="126" spans="1:19" x14ac:dyDescent="0.3">
      <c r="E126" t="s">
        <v>465</v>
      </c>
      <c r="G126" s="52" t="e">
        <f t="shared" ref="G126:M126" si="151">100*(G69/G111)</f>
        <v>#DIV/0!</v>
      </c>
      <c r="H126" s="52" t="e">
        <f t="shared" si="151"/>
        <v>#DIV/0!</v>
      </c>
      <c r="I126" s="52" t="e">
        <f t="shared" si="151"/>
        <v>#DIV/0!</v>
      </c>
      <c r="J126" s="52" t="e">
        <f t="shared" si="151"/>
        <v>#DIV/0!</v>
      </c>
      <c r="K126" s="52" t="e">
        <f t="shared" si="151"/>
        <v>#DIV/0!</v>
      </c>
      <c r="L126" s="52" t="e">
        <f t="shared" si="151"/>
        <v>#DIV/0!</v>
      </c>
      <c r="M126" s="52" t="e">
        <f t="shared" si="151"/>
        <v>#DIV/0!</v>
      </c>
    </row>
    <row r="127" spans="1:19" x14ac:dyDescent="0.3">
      <c r="E127" t="s">
        <v>499</v>
      </c>
      <c r="G127" s="52" t="e">
        <f t="shared" ref="G127:M127" si="152">100*(G77/G111)</f>
        <v>#DIV/0!</v>
      </c>
      <c r="H127" s="52" t="e">
        <f t="shared" si="152"/>
        <v>#DIV/0!</v>
      </c>
      <c r="I127" s="52" t="e">
        <f t="shared" si="152"/>
        <v>#DIV/0!</v>
      </c>
      <c r="J127" s="52" t="e">
        <f t="shared" si="152"/>
        <v>#DIV/0!</v>
      </c>
      <c r="K127" s="52" t="e">
        <f t="shared" si="152"/>
        <v>#DIV/0!</v>
      </c>
      <c r="L127" s="52" t="e">
        <f t="shared" si="152"/>
        <v>#DIV/0!</v>
      </c>
      <c r="M127" s="52" t="e">
        <f t="shared" si="152"/>
        <v>#DIV/0!</v>
      </c>
    </row>
    <row r="128" spans="1:19" x14ac:dyDescent="0.3">
      <c r="E128" t="s">
        <v>500</v>
      </c>
      <c r="G128" s="52" t="e">
        <f t="shared" ref="G128:M128" si="153">100*(G85/G111)</f>
        <v>#DIV/0!</v>
      </c>
      <c r="H128" s="52" t="e">
        <f t="shared" si="153"/>
        <v>#DIV/0!</v>
      </c>
      <c r="I128" s="52" t="e">
        <f t="shared" si="153"/>
        <v>#DIV/0!</v>
      </c>
      <c r="J128" s="52" t="e">
        <f t="shared" si="153"/>
        <v>#DIV/0!</v>
      </c>
      <c r="K128" s="52" t="e">
        <f t="shared" si="153"/>
        <v>#DIV/0!</v>
      </c>
      <c r="L128" s="52" t="e">
        <f t="shared" si="153"/>
        <v>#DIV/0!</v>
      </c>
      <c r="M128" s="52" t="e">
        <f t="shared" si="153"/>
        <v>#DIV/0!</v>
      </c>
    </row>
    <row r="129" spans="3:13" x14ac:dyDescent="0.3">
      <c r="E129" t="s">
        <v>501</v>
      </c>
      <c r="G129" s="52" t="e">
        <f t="shared" ref="G129:M129" si="154">100*(G93/G111)</f>
        <v>#DIV/0!</v>
      </c>
      <c r="H129" s="52" t="e">
        <f t="shared" si="154"/>
        <v>#DIV/0!</v>
      </c>
      <c r="I129" s="52" t="e">
        <f t="shared" si="154"/>
        <v>#DIV/0!</v>
      </c>
      <c r="J129" s="52" t="e">
        <f t="shared" si="154"/>
        <v>#DIV/0!</v>
      </c>
      <c r="K129" s="52" t="e">
        <f t="shared" si="154"/>
        <v>#DIV/0!</v>
      </c>
      <c r="L129" s="52" t="e">
        <f t="shared" si="154"/>
        <v>#DIV/0!</v>
      </c>
      <c r="M129" s="52" t="e">
        <f t="shared" si="154"/>
        <v>#DIV/0!</v>
      </c>
    </row>
    <row r="130" spans="3:13" x14ac:dyDescent="0.3">
      <c r="E130" t="s">
        <v>502</v>
      </c>
      <c r="G130" s="52" t="e">
        <f t="shared" ref="G130:M130" si="155">100*(G101/G111)</f>
        <v>#DIV/0!</v>
      </c>
      <c r="H130" s="52" t="e">
        <f t="shared" si="155"/>
        <v>#DIV/0!</v>
      </c>
      <c r="I130" s="52" t="e">
        <f t="shared" si="155"/>
        <v>#DIV/0!</v>
      </c>
      <c r="J130" s="52" t="e">
        <f t="shared" si="155"/>
        <v>#DIV/0!</v>
      </c>
      <c r="K130" s="52" t="e">
        <f t="shared" si="155"/>
        <v>#DIV/0!</v>
      </c>
      <c r="L130" s="52" t="e">
        <f t="shared" si="155"/>
        <v>#DIV/0!</v>
      </c>
      <c r="M130" s="52" t="e">
        <f t="shared" si="155"/>
        <v>#DIV/0!</v>
      </c>
    </row>
    <row r="131" spans="3:13" x14ac:dyDescent="0.3">
      <c r="E131" t="s">
        <v>503</v>
      </c>
      <c r="G131" s="52" t="e">
        <f>100*(G109/G111)</f>
        <v>#DIV/0!</v>
      </c>
      <c r="H131" s="52" t="e">
        <f t="shared" ref="H131:M131" si="156">100*(H109/H111)</f>
        <v>#DIV/0!</v>
      </c>
      <c r="I131" s="52" t="e">
        <f t="shared" si="156"/>
        <v>#DIV/0!</v>
      </c>
      <c r="J131" s="52" t="e">
        <f t="shared" si="156"/>
        <v>#DIV/0!</v>
      </c>
      <c r="K131" s="52" t="e">
        <f t="shared" si="156"/>
        <v>#DIV/0!</v>
      </c>
      <c r="L131" s="52" t="e">
        <f t="shared" si="156"/>
        <v>#DIV/0!</v>
      </c>
      <c r="M131" s="52" t="e">
        <f t="shared" si="156"/>
        <v>#DIV/0!</v>
      </c>
    </row>
    <row r="132" spans="3:13" x14ac:dyDescent="0.3">
      <c r="G132" s="52"/>
      <c r="H132" s="52"/>
      <c r="I132" s="52"/>
      <c r="J132" s="52"/>
      <c r="K132" s="52"/>
      <c r="L132" s="52"/>
      <c r="M132" s="52"/>
    </row>
    <row r="133" spans="3:13" x14ac:dyDescent="0.3">
      <c r="E133" s="4" t="s">
        <v>519</v>
      </c>
      <c r="G133" s="52"/>
      <c r="H133" s="52"/>
      <c r="I133" s="52"/>
      <c r="J133" s="52"/>
      <c r="K133" s="52"/>
      <c r="L133" s="52"/>
      <c r="M133" s="52"/>
    </row>
    <row r="134" spans="3:13" x14ac:dyDescent="0.3">
      <c r="E134" t="s">
        <v>465</v>
      </c>
      <c r="G134" s="52" t="str">
        <f t="shared" ref="G134:M134" si="157">IFERROR(100*(G69/D35),"")</f>
        <v/>
      </c>
      <c r="H134" s="52" t="str">
        <f t="shared" si="157"/>
        <v/>
      </c>
      <c r="I134" s="52" t="str">
        <f t="shared" si="157"/>
        <v/>
      </c>
      <c r="J134" s="52" t="str">
        <f t="shared" si="157"/>
        <v/>
      </c>
      <c r="K134" s="52" t="str">
        <f t="shared" si="157"/>
        <v/>
      </c>
      <c r="L134" s="52" t="str">
        <f t="shared" si="157"/>
        <v/>
      </c>
      <c r="M134" s="52" t="str">
        <f t="shared" si="157"/>
        <v/>
      </c>
    </row>
    <row r="135" spans="3:13" x14ac:dyDescent="0.3">
      <c r="E135" t="s">
        <v>499</v>
      </c>
      <c r="G135" s="52" t="str">
        <f t="shared" ref="G135:M135" si="158">IFERROR(100*(G77/D36),"")</f>
        <v/>
      </c>
      <c r="H135" s="52" t="str">
        <f t="shared" si="158"/>
        <v/>
      </c>
      <c r="I135" s="52" t="str">
        <f t="shared" si="158"/>
        <v/>
      </c>
      <c r="J135" s="52" t="str">
        <f t="shared" si="158"/>
        <v/>
      </c>
      <c r="K135" s="52" t="str">
        <f t="shared" si="158"/>
        <v/>
      </c>
      <c r="L135" s="52" t="str">
        <f t="shared" si="158"/>
        <v/>
      </c>
      <c r="M135" s="52" t="str">
        <f t="shared" si="158"/>
        <v/>
      </c>
    </row>
    <row r="136" spans="3:13" x14ac:dyDescent="0.3">
      <c r="E136" t="s">
        <v>531</v>
      </c>
      <c r="G136" s="152" t="str">
        <f t="shared" ref="G136:M136" si="159">IFERROR(100*((G69+G77)/(D35+D36)),"")</f>
        <v/>
      </c>
      <c r="H136" s="52" t="str">
        <f t="shared" si="159"/>
        <v/>
      </c>
      <c r="I136" s="52" t="str">
        <f t="shared" si="159"/>
        <v/>
      </c>
      <c r="J136" s="52" t="str">
        <f t="shared" si="159"/>
        <v/>
      </c>
      <c r="K136" s="52" t="str">
        <f t="shared" si="159"/>
        <v/>
      </c>
      <c r="L136" s="52" t="str">
        <f t="shared" si="159"/>
        <v/>
      </c>
      <c r="M136" s="52" t="str">
        <f t="shared" si="159"/>
        <v/>
      </c>
    </row>
    <row r="137" spans="3:13" x14ac:dyDescent="0.3">
      <c r="E137" t="s">
        <v>500</v>
      </c>
      <c r="G137" s="52" t="str">
        <f t="shared" ref="G137:M137" si="160">IFERROR(100*(G85/D37),"")</f>
        <v/>
      </c>
      <c r="H137" s="52" t="str">
        <f t="shared" si="160"/>
        <v/>
      </c>
      <c r="I137" s="52" t="str">
        <f t="shared" si="160"/>
        <v/>
      </c>
      <c r="J137" s="52" t="str">
        <f t="shared" si="160"/>
        <v/>
      </c>
      <c r="K137" s="52" t="str">
        <f t="shared" si="160"/>
        <v/>
      </c>
      <c r="L137" s="52" t="str">
        <f t="shared" si="160"/>
        <v/>
      </c>
      <c r="M137" s="52" t="str">
        <f t="shared" si="160"/>
        <v/>
      </c>
    </row>
    <row r="138" spans="3:13" x14ac:dyDescent="0.3">
      <c r="E138" t="s">
        <v>501</v>
      </c>
      <c r="G138" s="52" t="str">
        <f t="shared" ref="G138:M138" si="161">IFERROR(100*(G93/D38),"")</f>
        <v/>
      </c>
      <c r="H138" s="52" t="str">
        <f t="shared" si="161"/>
        <v/>
      </c>
      <c r="I138" s="52" t="str">
        <f t="shared" si="161"/>
        <v/>
      </c>
      <c r="J138" s="52" t="str">
        <f t="shared" si="161"/>
        <v/>
      </c>
      <c r="K138" s="52" t="str">
        <f t="shared" si="161"/>
        <v/>
      </c>
      <c r="L138" s="52" t="str">
        <f t="shared" si="161"/>
        <v/>
      </c>
      <c r="M138" s="52" t="str">
        <f t="shared" si="161"/>
        <v/>
      </c>
    </row>
    <row r="139" spans="3:13" x14ac:dyDescent="0.3">
      <c r="E139" t="s">
        <v>502</v>
      </c>
      <c r="G139" s="52" t="str">
        <f t="shared" ref="G139:M139" si="162">IFERROR(100*(G101/D39),"")</f>
        <v/>
      </c>
      <c r="H139" s="52" t="str">
        <f t="shared" si="162"/>
        <v/>
      </c>
      <c r="I139" s="52" t="str">
        <f t="shared" si="162"/>
        <v/>
      </c>
      <c r="J139" s="52" t="str">
        <f t="shared" si="162"/>
        <v/>
      </c>
      <c r="K139" s="52" t="str">
        <f t="shared" si="162"/>
        <v/>
      </c>
      <c r="L139" s="52" t="str">
        <f t="shared" si="162"/>
        <v/>
      </c>
      <c r="M139" s="52" t="str">
        <f t="shared" si="162"/>
        <v/>
      </c>
    </row>
    <row r="140" spans="3:13" x14ac:dyDescent="0.3">
      <c r="E140" t="s">
        <v>503</v>
      </c>
      <c r="G140" s="52" t="str">
        <f t="shared" ref="G140:M140" si="163">IFERROR(100*(G109/D40),"")</f>
        <v/>
      </c>
      <c r="H140" s="52" t="str">
        <f t="shared" si="163"/>
        <v/>
      </c>
      <c r="I140" s="52" t="str">
        <f t="shared" si="163"/>
        <v/>
      </c>
      <c r="J140" s="52" t="str">
        <f t="shared" si="163"/>
        <v/>
      </c>
      <c r="K140" s="52" t="str">
        <f t="shared" si="163"/>
        <v/>
      </c>
      <c r="L140" s="52" t="str">
        <f t="shared" si="163"/>
        <v/>
      </c>
      <c r="M140" s="52" t="str">
        <f t="shared" si="163"/>
        <v/>
      </c>
    </row>
    <row r="142" spans="3:13" ht="18" x14ac:dyDescent="0.35">
      <c r="C142" s="29" t="s">
        <v>633</v>
      </c>
    </row>
    <row r="144" spans="3:13" ht="15.6" x14ac:dyDescent="0.3">
      <c r="C144" s="33"/>
      <c r="D144" s="41" t="s">
        <v>600</v>
      </c>
      <c r="E144" s="41" t="s">
        <v>599</v>
      </c>
      <c r="F144" s="41" t="s">
        <v>604</v>
      </c>
      <c r="G144" s="4"/>
      <c r="H144" s="4"/>
    </row>
    <row r="145" spans="3:6" x14ac:dyDescent="0.3">
      <c r="C145" s="126" t="s">
        <v>601</v>
      </c>
      <c r="D145" s="204"/>
      <c r="E145" s="204"/>
      <c r="F145" s="86">
        <f>D145*E145/(1000*6.25)</f>
        <v>0</v>
      </c>
    </row>
    <row r="146" spans="3:6" x14ac:dyDescent="0.3">
      <c r="C146" s="126" t="s">
        <v>512</v>
      </c>
      <c r="D146" s="154"/>
      <c r="E146" s="154"/>
      <c r="F146" s="86">
        <f>D146*E146/(1000*6.25)</f>
        <v>0</v>
      </c>
    </row>
    <row r="147" spans="3:6" x14ac:dyDescent="0.3">
      <c r="C147" s="126" t="s">
        <v>513</v>
      </c>
      <c r="D147" s="205"/>
      <c r="E147" s="205"/>
      <c r="F147" s="86">
        <f>D147*E147/(1000*6.25)</f>
        <v>0</v>
      </c>
    </row>
    <row r="148" spans="3:6" x14ac:dyDescent="0.3">
      <c r="C148" s="126" t="s">
        <v>514</v>
      </c>
      <c r="D148" s="205"/>
      <c r="E148" s="205"/>
      <c r="F148" s="86">
        <f>D148*E148/(1000*6.25)</f>
        <v>0</v>
      </c>
    </row>
    <row r="149" spans="3:6" x14ac:dyDescent="0.3">
      <c r="C149" s="126" t="s">
        <v>602</v>
      </c>
      <c r="D149" s="205"/>
      <c r="E149" s="205"/>
      <c r="F149" s="86">
        <f t="shared" ref="F149:F150" si="164">D149*E149/(1000*6.25)</f>
        <v>0</v>
      </c>
    </row>
    <row r="150" spans="3:6" x14ac:dyDescent="0.3">
      <c r="C150" s="126" t="s">
        <v>603</v>
      </c>
      <c r="D150" s="205"/>
      <c r="E150" s="205"/>
      <c r="F150" s="86">
        <f t="shared" si="164"/>
        <v>0</v>
      </c>
    </row>
    <row r="151" spans="3:6" ht="15.6" x14ac:dyDescent="0.3">
      <c r="D151" s="41" t="s">
        <v>606</v>
      </c>
      <c r="E151" s="159" t="str">
        <f>IF(D10=6,(SUM(F145:F150)/G111)*100,IF(D10=5,(SUM(F145:F149)/G111)*100,IF(D10=4,(SUM(F145:F148)/G111)*100,IF(D10=3,(SUM(F145:F147)/G111)*100,IF(D10=2,(SUM(F145:F146)/G111)*100,IF(D10=1,(F145/G111)*100,"Error"))))))</f>
        <v>Error</v>
      </c>
      <c r="F151" s="160" t="s">
        <v>610</v>
      </c>
    </row>
    <row r="152" spans="3:6" ht="15.6" x14ac:dyDescent="0.3">
      <c r="D152" s="41" t="s">
        <v>607</v>
      </c>
      <c r="E152" s="159" t="str">
        <f>IF(D10=6,(SUM(F145:F150)/S111)*100,IF(D10=5,(SUM(F145:F149)/S111)*100,IF(D10=4,(SUM(F145:F148)/S111)*100,IF(D10=3,(SUM(F145:F147)/S111)*100,IF(D10=2,(SUM(F145:F146)/S111)*100,IF(D10=1,(F145/S111)*100,"Error"))))))</f>
        <v>Error</v>
      </c>
      <c r="F152" s="160" t="s">
        <v>610</v>
      </c>
    </row>
  </sheetData>
  <sheetProtection algorithmName="SHA-512" hashValue="/Mdy/kTK6KIScdM/SOqXOiIyZiPvQDtXU3RiGeXMUSN3qQI3PzJODsG1g9pCecEdMesg4FxAo9ryZbNGu3QX7A==" saltValue="BLZ5FCrT50kcyGHAaTM/PA==" spinCount="100000" sheet="1" objects="1" scenarios="1" selectLockedCells="1"/>
  <mergeCells count="8">
    <mergeCell ref="E123:M123"/>
    <mergeCell ref="E124:M124"/>
    <mergeCell ref="N2:O2"/>
    <mergeCell ref="P2:R2"/>
    <mergeCell ref="U33:Z33"/>
    <mergeCell ref="N43:Q43"/>
    <mergeCell ref="E121:M121"/>
    <mergeCell ref="E122:M122"/>
  </mergeCells>
  <conditionalFormatting sqref="A95:A100">
    <cfRule type="expression" dxfId="263" priority="13">
      <formula>$D$10&lt;5</formula>
    </cfRule>
  </conditionalFormatting>
  <conditionalFormatting sqref="A103:A108">
    <cfRule type="expression" dxfId="262" priority="14">
      <formula>$D$10&lt;6</formula>
    </cfRule>
  </conditionalFormatting>
  <conditionalFormatting sqref="A71:D76">
    <cfRule type="expression" dxfId="261" priority="10">
      <formula>$D$10&lt;2</formula>
    </cfRule>
  </conditionalFormatting>
  <conditionalFormatting sqref="A79:D84">
    <cfRule type="expression" dxfId="260" priority="11">
      <formula>$D$10&lt;3</formula>
    </cfRule>
  </conditionalFormatting>
  <conditionalFormatting sqref="A87:D92">
    <cfRule type="expression" dxfId="259" priority="12">
      <formula>$D$10&lt;4</formula>
    </cfRule>
  </conditionalFormatting>
  <conditionalFormatting sqref="C34:C41">
    <cfRule type="notContainsBlanks" dxfId="258" priority="88">
      <formula>LEN(TRIM(C34))&gt;0</formula>
    </cfRule>
  </conditionalFormatting>
  <conditionalFormatting sqref="C11:D11">
    <cfRule type="expression" dxfId="257" priority="77">
      <formula>$D$5="Maaien"</formula>
    </cfRule>
  </conditionalFormatting>
  <conditionalFormatting sqref="C95:D100">
    <cfRule type="expression" dxfId="256" priority="15">
      <formula>$D$10&lt;5</formula>
    </cfRule>
  </conditionalFormatting>
  <conditionalFormatting sqref="C103:D108">
    <cfRule type="expression" dxfId="255" priority="16">
      <formula>$D$10&lt;6</formula>
    </cfRule>
  </conditionalFormatting>
  <conditionalFormatting sqref="C117:F118">
    <cfRule type="cellIs" dxfId="254" priority="84" operator="equal">
      <formula>0</formula>
    </cfRule>
  </conditionalFormatting>
  <conditionalFormatting sqref="C145:F145">
    <cfRule type="expression" dxfId="253" priority="17">
      <formula>$D$10=1</formula>
    </cfRule>
  </conditionalFormatting>
  <conditionalFormatting sqref="C146:F146">
    <cfRule type="expression" dxfId="252" priority="18">
      <formula>$D$10&lt;2</formula>
    </cfRule>
    <cfRule type="expression" dxfId="251" priority="19">
      <formula>$D$10=2</formula>
    </cfRule>
  </conditionalFormatting>
  <conditionalFormatting sqref="C147:F147">
    <cfRule type="expression" dxfId="250" priority="20">
      <formula>$D$10&lt;3</formula>
    </cfRule>
    <cfRule type="expression" dxfId="249" priority="21">
      <formula>$D$10=3</formula>
    </cfRule>
  </conditionalFormatting>
  <conditionalFormatting sqref="C148:F148">
    <cfRule type="expression" dxfId="248" priority="22">
      <formula>$D$10&lt;4</formula>
    </cfRule>
    <cfRule type="expression" dxfId="247" priority="23">
      <formula>$D$10=4</formula>
    </cfRule>
  </conditionalFormatting>
  <conditionalFormatting sqref="C149:F149">
    <cfRule type="expression" dxfId="246" priority="25">
      <formula>$D$10=5</formula>
    </cfRule>
    <cfRule type="expression" dxfId="245" priority="24">
      <formula>$D$10&lt;5</formula>
    </cfRule>
  </conditionalFormatting>
  <conditionalFormatting sqref="C150:F150">
    <cfRule type="expression" dxfId="244" priority="26">
      <formula>$D$10&lt;6</formula>
    </cfRule>
  </conditionalFormatting>
  <conditionalFormatting sqref="C53:L53">
    <cfRule type="expression" dxfId="243" priority="51">
      <formula>$D$53="kg"</formula>
    </cfRule>
    <cfRule type="expression" dxfId="242" priority="44">
      <formula>$D$5="Maaien"</formula>
    </cfRule>
  </conditionalFormatting>
  <conditionalFormatting sqref="C53:L58 N53:Q58">
    <cfRule type="expression" dxfId="241" priority="45">
      <formula>$D$5="Maaien"</formula>
    </cfRule>
  </conditionalFormatting>
  <conditionalFormatting sqref="C54:L54">
    <cfRule type="expression" dxfId="240" priority="50">
      <formula>$D$54="kg"</formula>
    </cfRule>
  </conditionalFormatting>
  <conditionalFormatting sqref="C55:L55">
    <cfRule type="expression" dxfId="239" priority="49">
      <formula>$D$55="kg"</formula>
    </cfRule>
  </conditionalFormatting>
  <conditionalFormatting sqref="C56:L56">
    <cfRule type="expression" dxfId="238" priority="48">
      <formula>$D$56="kg"</formula>
    </cfRule>
  </conditionalFormatting>
  <conditionalFormatting sqref="C57:M57">
    <cfRule type="expression" dxfId="237" priority="47">
      <formula>$D$57="kg"</formula>
    </cfRule>
  </conditionalFormatting>
  <conditionalFormatting sqref="C58:M58">
    <cfRule type="expression" dxfId="236" priority="46">
      <formula>$D$58="kg"</formula>
    </cfRule>
  </conditionalFormatting>
  <conditionalFormatting sqref="D151:F151">
    <cfRule type="expression" dxfId="235" priority="9">
      <formula>$D$10&gt;0</formula>
    </cfRule>
  </conditionalFormatting>
  <conditionalFormatting sqref="D36:J36">
    <cfRule type="expression" dxfId="234" priority="52">
      <formula>$B$36=""</formula>
    </cfRule>
    <cfRule type="expression" dxfId="233" priority="61">
      <formula>$B$36="Per snede"</formula>
    </cfRule>
  </conditionalFormatting>
  <conditionalFormatting sqref="D37:J37">
    <cfRule type="expression" dxfId="232" priority="53">
      <formula>$B$37=""</formula>
    </cfRule>
    <cfRule type="expression" dxfId="231" priority="60">
      <formula>$B$37="Per snede"</formula>
    </cfRule>
  </conditionalFormatting>
  <conditionalFormatting sqref="D38:J38">
    <cfRule type="expression" dxfId="230" priority="59">
      <formula>$B$38="Per snede"</formula>
    </cfRule>
    <cfRule type="expression" dxfId="229" priority="54">
      <formula>$B$38=""</formula>
    </cfRule>
  </conditionalFormatting>
  <conditionalFormatting sqref="D39:J39">
    <cfRule type="expression" dxfId="228" priority="55">
      <formula>$B$39=""</formula>
    </cfRule>
    <cfRule type="expression" dxfId="227" priority="58">
      <formula>$B$39="Per snede"</formula>
    </cfRule>
  </conditionalFormatting>
  <conditionalFormatting sqref="D40:J40">
    <cfRule type="expression" dxfId="226" priority="57">
      <formula>$B$40="Per snede"</formula>
    </cfRule>
    <cfRule type="expression" dxfId="225" priority="56">
      <formula>$B$40=""</formula>
    </cfRule>
  </conditionalFormatting>
  <conditionalFormatting sqref="E120:E122">
    <cfRule type="cellIs" dxfId="224" priority="28" operator="equal">
      <formula>FALSE</formula>
    </cfRule>
  </conditionalFormatting>
  <conditionalFormatting sqref="E45:L52">
    <cfRule type="cellIs" dxfId="223" priority="87" operator="equal">
      <formula>0</formula>
    </cfRule>
  </conditionalFormatting>
  <conditionalFormatting sqref="F111">
    <cfRule type="cellIs" dxfId="222" priority="33" operator="between">
      <formula>170</formula>
      <formula>255</formula>
    </cfRule>
    <cfRule type="cellIs" dxfId="221" priority="32" operator="greaterThan">
      <formula>255</formula>
    </cfRule>
  </conditionalFormatting>
  <conditionalFormatting sqref="F63:M68 F71:M76 F79:M84 F87:M92 F95:M100 F103:M108">
    <cfRule type="cellIs" dxfId="220" priority="85" operator="equal">
      <formula>0</formula>
    </cfRule>
  </conditionalFormatting>
  <conditionalFormatting sqref="F111:M111 O111">
    <cfRule type="cellIs" dxfId="219" priority="86" operator="equal">
      <formula>0</formula>
    </cfRule>
  </conditionalFormatting>
  <conditionalFormatting sqref="G102">
    <cfRule type="cellIs" dxfId="218" priority="29" operator="equal">
      <formula>0</formula>
    </cfRule>
  </conditionalFormatting>
  <conditionalFormatting sqref="G111">
    <cfRule type="expression" dxfId="217" priority="7">
      <formula>$G$111&gt;$D$16*1.25</formula>
    </cfRule>
    <cfRule type="expression" dxfId="216" priority="31">
      <formula>$G$111&gt;$D$16</formula>
    </cfRule>
  </conditionalFormatting>
  <conditionalFormatting sqref="G2:M9">
    <cfRule type="expression" dxfId="215" priority="30">
      <formula>$D$5=""</formula>
    </cfRule>
  </conditionalFormatting>
  <conditionalFormatting sqref="G2:S9">
    <cfRule type="expression" dxfId="214" priority="69">
      <formula>$D$5="Maaien"</formula>
    </cfRule>
  </conditionalFormatting>
  <conditionalFormatting sqref="G3:S3">
    <cfRule type="expression" dxfId="213" priority="68">
      <formula>$D$5="Maaien + grazen"</formula>
    </cfRule>
  </conditionalFormatting>
  <conditionalFormatting sqref="G4:S4">
    <cfRule type="expression" dxfId="212" priority="67">
      <formula>$G$4=1</formula>
    </cfRule>
  </conditionalFormatting>
  <conditionalFormatting sqref="G4:S9">
    <cfRule type="expression" dxfId="211" priority="43">
      <formula>$D$5="Maaien"</formula>
    </cfRule>
  </conditionalFormatting>
  <conditionalFormatting sqref="G5:S5">
    <cfRule type="expression" dxfId="210" priority="66">
      <formula>$G$5=2</formula>
    </cfRule>
  </conditionalFormatting>
  <conditionalFormatting sqref="G6:S6">
    <cfRule type="expression" dxfId="209" priority="65">
      <formula>$G$6=3</formula>
    </cfRule>
  </conditionalFormatting>
  <conditionalFormatting sqref="G7:S7">
    <cfRule type="expression" dxfId="208" priority="64">
      <formula>$G$7=4</formula>
    </cfRule>
  </conditionalFormatting>
  <conditionalFormatting sqref="G8:S8">
    <cfRule type="expression" dxfId="207" priority="63">
      <formula>$G$8=5</formula>
    </cfRule>
  </conditionalFormatting>
  <conditionalFormatting sqref="G9:S9">
    <cfRule type="expression" dxfId="206" priority="62">
      <formula>$G$9=6</formula>
    </cfRule>
  </conditionalFormatting>
  <conditionalFormatting sqref="H4 J4:M4">
    <cfRule type="expression" dxfId="205" priority="78">
      <formula>$G$4=1</formula>
    </cfRule>
  </conditionalFormatting>
  <conditionalFormatting sqref="H5 J5:M5">
    <cfRule type="expression" dxfId="204" priority="83">
      <formula>$G$5=2</formula>
    </cfRule>
  </conditionalFormatting>
  <conditionalFormatting sqref="H6 J6:M6">
    <cfRule type="expression" dxfId="203" priority="82">
      <formula>$G$6=3</formula>
    </cfRule>
  </conditionalFormatting>
  <conditionalFormatting sqref="H7 J7:M7">
    <cfRule type="expression" dxfId="202" priority="81">
      <formula>$G$7=4</formula>
    </cfRule>
  </conditionalFormatting>
  <conditionalFormatting sqref="H8 J8:M8">
    <cfRule type="expression" dxfId="201" priority="80">
      <formula>$G$8=5</formula>
    </cfRule>
  </conditionalFormatting>
  <conditionalFormatting sqref="H9 J9:M9">
    <cfRule type="expression" dxfId="200" priority="79">
      <formula>$G$9=6</formula>
    </cfRule>
  </conditionalFormatting>
  <conditionalFormatting sqref="H111">
    <cfRule type="expression" dxfId="199" priority="8">
      <formula>$H$111&gt;$E$16</formula>
    </cfRule>
  </conditionalFormatting>
  <conditionalFormatting sqref="H4:S4">
    <cfRule type="expression" dxfId="198" priority="75">
      <formula>$G$4=""</formula>
    </cfRule>
  </conditionalFormatting>
  <conditionalFormatting sqref="H5:S5">
    <cfRule type="expression" dxfId="197" priority="70">
      <formula>$G$5=""</formula>
    </cfRule>
  </conditionalFormatting>
  <conditionalFormatting sqref="H6:S6">
    <cfRule type="expression" dxfId="196" priority="71">
      <formula>$G$6=""</formula>
    </cfRule>
  </conditionalFormatting>
  <conditionalFormatting sqref="H7:S7">
    <cfRule type="expression" dxfId="195" priority="72">
      <formula>$G$7=""</formula>
    </cfRule>
  </conditionalFormatting>
  <conditionalFormatting sqref="H8:S8">
    <cfRule type="expression" dxfId="194" priority="73">
      <formula>$G$8=""</formula>
    </cfRule>
  </conditionalFormatting>
  <conditionalFormatting sqref="H9:S9">
    <cfRule type="expression" dxfId="193" priority="74">
      <formula>$G$9=""</formula>
    </cfRule>
  </conditionalFormatting>
  <conditionalFormatting sqref="I4">
    <cfRule type="expression" dxfId="192" priority="1">
      <formula>$H$4="Melkkoeien"</formula>
    </cfRule>
  </conditionalFormatting>
  <conditionalFormatting sqref="I5">
    <cfRule type="expression" dxfId="191" priority="2">
      <formula>$H$5="Melkkoeien"</formula>
    </cfRule>
  </conditionalFormatting>
  <conditionalFormatting sqref="I6">
    <cfRule type="expression" dxfId="190" priority="3">
      <formula>$H$6="Melkkoeien"</formula>
    </cfRule>
  </conditionalFormatting>
  <conditionalFormatting sqref="I7">
    <cfRule type="expression" dxfId="189" priority="4">
      <formula>$H$7="Melkkoeien"</formula>
    </cfRule>
  </conditionalFormatting>
  <conditionalFormatting sqref="I8">
    <cfRule type="expression" dxfId="188" priority="5">
      <formula>$H$8="Melkkoeien"</formula>
    </cfRule>
  </conditionalFormatting>
  <conditionalFormatting sqref="I9">
    <cfRule type="expression" dxfId="187" priority="6">
      <formula>$H$9="Melkkoeien"</formula>
    </cfRule>
  </conditionalFormatting>
  <conditionalFormatting sqref="K5:L6">
    <cfRule type="expression" dxfId="186" priority="27">
      <formula>$G$4=""</formula>
    </cfRule>
  </conditionalFormatting>
  <conditionalFormatting sqref="M45:M55">
    <cfRule type="cellIs" dxfId="185" priority="42" operator="equal">
      <formula>0</formula>
    </cfRule>
  </conditionalFormatting>
  <conditionalFormatting sqref="M53">
    <cfRule type="expression" dxfId="184" priority="39">
      <formula>$C$53="Begrazingsnede 1"</formula>
    </cfRule>
  </conditionalFormatting>
  <conditionalFormatting sqref="M54">
    <cfRule type="expression" dxfId="183" priority="38">
      <formula>$C$54="Begrazingsnede 2"</formula>
    </cfRule>
  </conditionalFormatting>
  <conditionalFormatting sqref="M55">
    <cfRule type="expression" dxfId="182" priority="37">
      <formula>$C$55="Begrazingsnede 3"</formula>
    </cfRule>
  </conditionalFormatting>
  <conditionalFormatting sqref="M56">
    <cfRule type="expression" dxfId="181" priority="41">
      <formula>$D$56="kg"</formula>
    </cfRule>
    <cfRule type="expression" dxfId="180" priority="36">
      <formula>$C$56="Begrazingsnede 4"</formula>
    </cfRule>
  </conditionalFormatting>
  <conditionalFormatting sqref="M56:M58">
    <cfRule type="expression" dxfId="179" priority="40">
      <formula>$D$5="Maaien"</formula>
    </cfRule>
  </conditionalFormatting>
  <conditionalFormatting sqref="M57">
    <cfRule type="expression" dxfId="178" priority="35">
      <formula>$C$57="Begrazingsnede 5"</formula>
    </cfRule>
  </conditionalFormatting>
  <conditionalFormatting sqref="M58">
    <cfRule type="expression" dxfId="177" priority="34">
      <formula>$C$58="Begrazingsnede 6"</formula>
    </cfRule>
  </conditionalFormatting>
  <conditionalFormatting sqref="N45:Q52">
    <cfRule type="cellIs" dxfId="176" priority="76" operator="equal">
      <formula>0</formula>
    </cfRule>
  </conditionalFormatting>
  <dataValidations count="9">
    <dataValidation type="list" allowBlank="1" showInputMessage="1" showErrorMessage="1" sqref="I9" xr:uid="{F0BE5BD5-F0B4-42F0-BC58-85E540855043}">
      <formula1>INDIRECT($H$9)</formula1>
    </dataValidation>
    <dataValidation type="list" allowBlank="1" showInputMessage="1" showErrorMessage="1" sqref="I8" xr:uid="{145D932D-92A2-4C77-89A9-010AD14DCBF6}">
      <formula1>INDIRECT($H$8)</formula1>
    </dataValidation>
    <dataValidation type="list" allowBlank="1" showInputMessage="1" showErrorMessage="1" sqref="I7" xr:uid="{A7484C1F-B281-4630-8D18-990EBF74BDEB}">
      <formula1>INDIRECT($H$7)</formula1>
    </dataValidation>
    <dataValidation type="list" allowBlank="1" showInputMessage="1" showErrorMessage="1" sqref="I6" xr:uid="{1958634E-CB07-4030-A856-3579C9D69286}">
      <formula1>INDIRECT($H$6)</formula1>
    </dataValidation>
    <dataValidation type="list" allowBlank="1" showInputMessage="1" showErrorMessage="1" sqref="I5" xr:uid="{B5F4B404-EBEF-4A85-AEFA-AFF4DBBAB4CD}">
      <formula1>INDIRECT($H$5)</formula1>
    </dataValidation>
    <dataValidation type="list" allowBlank="1" showInputMessage="1" showErrorMessage="1" sqref="I4" xr:uid="{41CD84BB-0D28-4768-8474-774C8C971BF5}">
      <formula1>INDIRECT($H$4)</formula1>
    </dataValidation>
    <dataValidation type="list" allowBlank="1" showInputMessage="1" showErrorMessage="1" sqref="H4:H9" xr:uid="{A31999F3-24F0-4270-97A6-716FB3532E5C}">
      <formula1>Diercategorie</formula1>
    </dataValidation>
    <dataValidation type="list" allowBlank="1" showInputMessage="1" showErrorMessage="1" sqref="D7" xr:uid="{224B7769-20F4-45EF-A7F1-371D5A73C761}">
      <formula1>"Ja,Nee"</formula1>
    </dataValidation>
    <dataValidation type="list" allowBlank="1" showInputMessage="1" showErrorMessage="1" sqref="C71:C76 C63:C68 C79:C84 C87:C92 C95:C100 C103:C108" xr:uid="{649D189D-09F7-4E09-A753-3B15039FEF73}">
      <formula1>$C$45:$C$58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600C2D87-8727-4874-B689-A09E6B761014}">
          <x14:formula1>
            <xm:f>'Lijsten en tabellen'!$AQ$3:$AQ$9</xm:f>
          </x14:formula1>
          <xm:sqref>D11</xm:sqref>
        </x14:dataValidation>
        <x14:dataValidation type="list" allowBlank="1" showInputMessage="1" showErrorMessage="1" xr:uid="{CF40A98B-2807-4FC9-AD0E-B3FC916D97F0}">
          <x14:formula1>
            <xm:f>'Lijsten en tabellen'!$AO$3:$AO$8</xm:f>
          </x14:formula1>
          <xm:sqref>D10</xm:sqref>
        </x14:dataValidation>
        <x14:dataValidation type="list" allowBlank="1" showInputMessage="1" showErrorMessage="1" xr:uid="{0247F666-EAD6-441B-900A-BF26C00EC6DB}">
          <x14:formula1>
            <xm:f>'Lijsten en tabellen'!$X$3:$X$23</xm:f>
          </x14:formula1>
          <xm:sqref>D4</xm:sqref>
        </x14:dataValidation>
        <x14:dataValidation type="list" allowBlank="1" showInputMessage="1" showErrorMessage="1" xr:uid="{548EC5F2-8143-464B-A809-FD34434701AF}">
          <x14:formula1>
            <xm:f>'Lijsten en tabellen'!$B$6:$B$7</xm:f>
          </x14:formula1>
          <xm:sqref>D5</xm:sqref>
        </x14:dataValidation>
        <x14:dataValidation type="list" allowBlank="1" showInputMessage="1" showErrorMessage="1" xr:uid="{7832FF34-80CC-489E-AE05-7EED765F85A5}">
          <x14:formula1>
            <xm:f>'Lijsten en tabellen'!$D$3:$K$3</xm:f>
          </x14:formula1>
          <xm:sqref>D6</xm:sqref>
        </x14:dataValidation>
        <x14:dataValidation type="list" allowBlank="1" showInputMessage="1" showErrorMessage="1" xr:uid="{1509F69B-7571-4E56-92E1-A4D9EA3973B7}">
          <x14:formula1>
            <xm:f>'Lijsten en tabellen'!$D$4:$K$4</xm:f>
          </x14:formula1>
          <xm:sqref>D3</xm:sqref>
        </x14:dataValidation>
        <x14:dataValidation type="list" allowBlank="1" showInputMessage="1" showErrorMessage="1" xr:uid="{E2BB8829-013A-4328-A193-8A6CD4043C52}">
          <x14:formula1>
            <xm:f>'Lijsten en tabellen'!$S$3:$V$3</xm:f>
          </x14:formula1>
          <xm:sqref>D8</xm:sqref>
        </x14:dataValidation>
        <x14:dataValidation type="list" allowBlank="1" showInputMessage="1" showErrorMessage="1" xr:uid="{627B0243-EF14-45A1-8470-495BF3F02193}">
          <x14:formula1>
            <xm:f>'Lijsten en tabellen'!$AP$3:$AP$4</xm:f>
          </x14:formula1>
          <xm:sqref>C20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0EA36-D0B1-4244-B1FC-38263ED065B1}">
  <dimension ref="A1:AL152"/>
  <sheetViews>
    <sheetView zoomScale="60" zoomScaleNormal="60" workbookViewId="0">
      <selection activeCell="D2" sqref="D2"/>
    </sheetView>
  </sheetViews>
  <sheetFormatPr defaultRowHeight="14.4" x14ac:dyDescent="0.3"/>
  <cols>
    <col min="1" max="1" width="17.5546875" customWidth="1"/>
    <col min="2" max="2" width="11.5546875" hidden="1" customWidth="1"/>
    <col min="3" max="3" width="27.33203125" customWidth="1"/>
    <col min="4" max="5" width="26.5546875" customWidth="1"/>
    <col min="6" max="6" width="19.44140625" customWidth="1"/>
    <col min="7" max="7" width="22.33203125" customWidth="1"/>
    <col min="8" max="8" width="23.21875" customWidth="1"/>
    <col min="9" max="9" width="23.33203125" customWidth="1"/>
    <col min="10" max="10" width="21.21875" customWidth="1"/>
    <col min="11" max="12" width="19.6640625" customWidth="1"/>
    <col min="13" max="13" width="20" customWidth="1"/>
    <col min="14" max="14" width="18.33203125" hidden="1" customWidth="1"/>
    <col min="15" max="15" width="19.33203125" hidden="1" customWidth="1"/>
    <col min="16" max="16" width="14" hidden="1" customWidth="1"/>
    <col min="17" max="17" width="13.109375" hidden="1" customWidth="1"/>
    <col min="18" max="19" width="14" hidden="1" customWidth="1"/>
    <col min="20" max="20" width="18.6640625" customWidth="1"/>
    <col min="21" max="21" width="27.21875" customWidth="1"/>
    <col min="22" max="22" width="35.44140625" customWidth="1"/>
    <col min="23" max="23" width="31.5546875" customWidth="1"/>
    <col min="24" max="24" width="31.33203125" customWidth="1"/>
    <col min="25" max="25" width="45.44140625" customWidth="1"/>
    <col min="26" max="26" width="20.6640625" customWidth="1"/>
    <col min="28" max="28" width="8.88671875" customWidth="1"/>
  </cols>
  <sheetData>
    <row r="1" spans="2:19" ht="18.600000000000001" thickBot="1" x14ac:dyDescent="0.4">
      <c r="C1" s="29" t="s">
        <v>441</v>
      </c>
      <c r="L1" s="42"/>
    </row>
    <row r="2" spans="2:19" ht="18" x14ac:dyDescent="0.35">
      <c r="C2" s="100" t="s">
        <v>440</v>
      </c>
      <c r="D2" s="185"/>
      <c r="E2" s="147"/>
      <c r="G2" s="29" t="s">
        <v>548</v>
      </c>
      <c r="N2" s="213" t="s">
        <v>593</v>
      </c>
      <c r="O2" s="213"/>
      <c r="P2" s="213" t="s">
        <v>553</v>
      </c>
      <c r="Q2" s="213"/>
      <c r="R2" s="213"/>
      <c r="S2" s="124"/>
    </row>
    <row r="3" spans="2:19" x14ac:dyDescent="0.3">
      <c r="C3" s="101" t="s">
        <v>406</v>
      </c>
      <c r="D3" s="186"/>
      <c r="E3" s="147"/>
      <c r="G3" s="84" t="s">
        <v>549</v>
      </c>
      <c r="H3" s="84" t="s">
        <v>555</v>
      </c>
      <c r="I3" s="84" t="s">
        <v>557</v>
      </c>
      <c r="J3" s="84" t="s">
        <v>550</v>
      </c>
      <c r="K3" s="84" t="s">
        <v>551</v>
      </c>
      <c r="L3" s="84" t="s">
        <v>552</v>
      </c>
      <c r="M3" s="84" t="s">
        <v>596</v>
      </c>
      <c r="N3" s="84" t="s">
        <v>471</v>
      </c>
      <c r="O3" s="84" t="s">
        <v>511</v>
      </c>
      <c r="P3" s="84" t="s">
        <v>471</v>
      </c>
      <c r="Q3" s="84" t="s">
        <v>472</v>
      </c>
      <c r="R3" s="84" t="s">
        <v>511</v>
      </c>
      <c r="S3" s="84"/>
    </row>
    <row r="4" spans="2:19" x14ac:dyDescent="0.3">
      <c r="B4" s="32" t="str">
        <f>IF(D4="Graskruiden mengsel","Ja","Nee")</f>
        <v>Nee</v>
      </c>
      <c r="C4" s="101" t="s">
        <v>403</v>
      </c>
      <c r="D4" s="186"/>
      <c r="E4" s="148" t="e">
        <f>VLOOKUP(D4,'Lijsten en tabellen'!X2:Z23,3,FALSE)</f>
        <v>#N/A</v>
      </c>
      <c r="F4" s="32"/>
      <c r="G4" t="str">
        <f>IFERROR(IF($D$11&gt;0,1,""),"")</f>
        <v/>
      </c>
      <c r="H4" s="189"/>
      <c r="I4" s="189"/>
      <c r="J4" s="189"/>
      <c r="K4" s="190"/>
      <c r="L4" s="190"/>
      <c r="M4" s="189"/>
      <c r="N4" t="str">
        <f>IFERROR(IF( H4="Melkkoeien", VLOOKUP(_xlfn.CONCAT(H4,I4),'Lijsten en tabellen'!$AK$3:$AM$35,3,FALSE),VLOOKUP(H4,'Lijsten en tabellen'!$AK$2:$AM$35,3,FALSE)),"")</f>
        <v/>
      </c>
      <c r="O4" t="str">
        <f>IFERROR(IF( H4="Melkkoeien", VLOOKUP(_xlfn.CONCAT(H4,I4),'Lijsten en tabellen'!$AK$3:$AM$35,2,FALSE),VLOOKUP(H4,'Lijsten en tabellen'!$AK$2:$AM$35,2,FALSE)),"")</f>
        <v/>
      </c>
      <c r="P4" s="78" t="str">
        <f t="shared" ref="P4:P9" si="0">IFERROR(J4*(L4-K4)*(M4/24)*(N4/365),"")</f>
        <v/>
      </c>
      <c r="Q4" s="78" t="str">
        <f>IFERROR(P4*0.2,"")</f>
        <v/>
      </c>
      <c r="R4" s="78" t="str">
        <f t="shared" ref="R4:R9" si="1">IFERROR(J4*(L4-K4)*(M4/24)*(O4/365),"")</f>
        <v/>
      </c>
      <c r="S4" s="78"/>
    </row>
    <row r="5" spans="2:19" x14ac:dyDescent="0.3">
      <c r="C5" s="101" t="s">
        <v>404</v>
      </c>
      <c r="D5" s="186"/>
      <c r="E5" s="148" t="e">
        <f>VLOOKUP(D4,'Lijsten en tabellen'!X2:AA23,4,FALSE)</f>
        <v>#N/A</v>
      </c>
      <c r="G5" t="str">
        <f>IFERROR(IF($D$11&gt;1,2,""),"")</f>
        <v/>
      </c>
      <c r="H5" s="189"/>
      <c r="I5" s="189"/>
      <c r="J5" s="189"/>
      <c r="K5" s="190"/>
      <c r="L5" s="190"/>
      <c r="M5" s="189"/>
      <c r="N5" t="str">
        <f>IFERROR(IF( H5="Melkkoeien", VLOOKUP(_xlfn.CONCAT(H5,I5),'Lijsten en tabellen'!$AK$3:$AM$35,3,FALSE),VLOOKUP(H5,'Lijsten en tabellen'!$AK$2:$AM$35,3,FALSE)),"")</f>
        <v/>
      </c>
      <c r="O5" t="str">
        <f>IFERROR(IF( H5="Melkkoeien", VLOOKUP(_xlfn.CONCAT(H5,I5),'Lijsten en tabellen'!$AK$3:$AM$35,2,FALSE),VLOOKUP(H5,'Lijsten en tabellen'!$AK$2:$AM$35,2,FALSE)),"")</f>
        <v/>
      </c>
      <c r="P5" s="78" t="str">
        <f t="shared" si="0"/>
        <v/>
      </c>
      <c r="Q5" s="78" t="str">
        <f t="shared" ref="Q5:Q9" si="2">IFERROR(P5*0.2,"")</f>
        <v/>
      </c>
      <c r="R5" s="78" t="str">
        <f t="shared" si="1"/>
        <v/>
      </c>
      <c r="S5" s="78"/>
    </row>
    <row r="6" spans="2:19" x14ac:dyDescent="0.3">
      <c r="C6" s="101" t="s">
        <v>405</v>
      </c>
      <c r="D6" s="187"/>
      <c r="E6" s="148" t="e">
        <f>_xlfn.CONCAT(D6,D3,D5,E4)</f>
        <v>#N/A</v>
      </c>
      <c r="G6" t="str">
        <f>IFERROR(IF($D$11&gt;2,3,""),"")</f>
        <v/>
      </c>
      <c r="H6" s="189"/>
      <c r="I6" s="189"/>
      <c r="J6" s="189"/>
      <c r="K6" s="189"/>
      <c r="L6" s="189"/>
      <c r="M6" s="189"/>
      <c r="N6" t="str">
        <f>IFERROR(IF( H6="Melkkoeien", VLOOKUP(_xlfn.CONCAT(H6,I6),'Lijsten en tabellen'!$AK$3:$AM$35,3,FALSE),VLOOKUP(H6,'Lijsten en tabellen'!$AK$2:$AM$35,3,FALSE)),"")</f>
        <v/>
      </c>
      <c r="O6" t="str">
        <f>IFERROR(IF( H6="Melkkoeien", VLOOKUP(_xlfn.CONCAT(H6,I6),'Lijsten en tabellen'!$AK$3:$AM$35,2,FALSE),VLOOKUP(H6,'Lijsten en tabellen'!$AK$2:$AM$35,2,FALSE)),"")</f>
        <v/>
      </c>
      <c r="P6" s="78" t="str">
        <f t="shared" si="0"/>
        <v/>
      </c>
      <c r="Q6" s="78" t="str">
        <f t="shared" si="2"/>
        <v/>
      </c>
      <c r="R6" s="78" t="str">
        <f t="shared" si="1"/>
        <v/>
      </c>
      <c r="S6" s="78"/>
    </row>
    <row r="7" spans="2:19" ht="28.8" x14ac:dyDescent="0.3">
      <c r="C7" s="102" t="s">
        <v>635</v>
      </c>
      <c r="D7" s="187"/>
      <c r="E7" s="147"/>
      <c r="G7" t="str">
        <f>IFERROR(IF($D$11&gt;3,4,""),"")</f>
        <v/>
      </c>
      <c r="H7" s="189"/>
      <c r="I7" s="189"/>
      <c r="J7" s="189"/>
      <c r="K7" s="190"/>
      <c r="L7" s="190"/>
      <c r="M7" s="189"/>
      <c r="N7" t="str">
        <f>IFERROR(IF( H7="Melkkoeien", VLOOKUP(_xlfn.CONCAT(H7,I7),'Lijsten en tabellen'!$AK$3:$AM$35,3,FALSE),VLOOKUP(H7,'Lijsten en tabellen'!$AK$2:$AM$35,3,FALSE)),"")</f>
        <v/>
      </c>
      <c r="O7" t="str">
        <f>IFERROR(IF( H7="Melkkoeien", VLOOKUP(_xlfn.CONCAT(H7,I7),'Lijsten en tabellen'!$AK$3:$AM$35,2,FALSE),VLOOKUP(H7,'Lijsten en tabellen'!$AK$2:$AM$35,2,FALSE)),"")</f>
        <v/>
      </c>
      <c r="P7" s="78" t="str">
        <f t="shared" si="0"/>
        <v/>
      </c>
      <c r="Q7" s="78" t="str">
        <f t="shared" si="2"/>
        <v/>
      </c>
      <c r="R7" s="78" t="str">
        <f t="shared" si="1"/>
        <v/>
      </c>
      <c r="S7" s="78"/>
    </row>
    <row r="8" spans="2:19" x14ac:dyDescent="0.3">
      <c r="C8" s="101" t="s">
        <v>408</v>
      </c>
      <c r="D8" s="186"/>
      <c r="E8" s="147"/>
      <c r="G8" t="str">
        <f>IFERROR(IF($D$11&gt;4,5,""),"")</f>
        <v/>
      </c>
      <c r="H8" s="189"/>
      <c r="I8" s="189"/>
      <c r="J8" s="189"/>
      <c r="K8" s="190"/>
      <c r="L8" s="190"/>
      <c r="M8" s="189"/>
      <c r="N8" t="str">
        <f>IFERROR(IF( H8="Melkkoeien", VLOOKUP(_xlfn.CONCAT(H8,I8),'Lijsten en tabellen'!$AK$3:$AM$35,3,FALSE),VLOOKUP(H8,'Lijsten en tabellen'!$AK$2:$AM$35,3,FALSE)),"")</f>
        <v/>
      </c>
      <c r="O8" t="str">
        <f>IFERROR(IF( H8="Melkkoeien", VLOOKUP(_xlfn.CONCAT(H8,I8),'Lijsten en tabellen'!$AK$3:$AM$35,2,FALSE),VLOOKUP(H8,'Lijsten en tabellen'!$AK$2:$AM$35,2,FALSE)),"")</f>
        <v/>
      </c>
      <c r="P8" s="78" t="str">
        <f t="shared" si="0"/>
        <v/>
      </c>
      <c r="Q8" s="78" t="str">
        <f t="shared" si="2"/>
        <v/>
      </c>
      <c r="R8" s="78" t="str">
        <f t="shared" si="1"/>
        <v/>
      </c>
      <c r="S8" s="78"/>
    </row>
    <row r="9" spans="2:19" x14ac:dyDescent="0.3">
      <c r="C9" s="101" t="s">
        <v>439</v>
      </c>
      <c r="D9" s="186"/>
      <c r="E9" s="147"/>
      <c r="G9" t="str">
        <f>IFERROR(IF($D$11&gt;5,6,""),"")</f>
        <v/>
      </c>
      <c r="H9" s="189"/>
      <c r="I9" s="189"/>
      <c r="J9" s="189"/>
      <c r="K9" s="190"/>
      <c r="L9" s="190"/>
      <c r="M9" s="189"/>
      <c r="N9" t="str">
        <f>IFERROR(IF( H9="Melkkoeien", VLOOKUP(_xlfn.CONCAT(H9,I9),'Lijsten en tabellen'!$AK$3:$AM$35,3,FALSE),VLOOKUP(H9,'Lijsten en tabellen'!$AK$2:$AM$35,3,FALSE)),"")</f>
        <v/>
      </c>
      <c r="O9" t="str">
        <f>IFERROR(IF( H9="Melkkoeien", VLOOKUP(_xlfn.CONCAT(H9,I9),'Lijsten en tabellen'!$AK$3:$AM$35,2,FALSE),VLOOKUP(H9,'Lijsten en tabellen'!$AK$2:$AM$35,2,FALSE)),"")</f>
        <v/>
      </c>
      <c r="P9" s="78" t="str">
        <f t="shared" si="0"/>
        <v/>
      </c>
      <c r="Q9" s="78" t="str">
        <f t="shared" si="2"/>
        <v/>
      </c>
      <c r="R9" s="78" t="str">
        <f t="shared" si="1"/>
        <v/>
      </c>
      <c r="S9" s="78"/>
    </row>
    <row r="10" spans="2:19" x14ac:dyDescent="0.3">
      <c r="C10" s="101" t="s">
        <v>595</v>
      </c>
      <c r="D10" s="186"/>
      <c r="E10" s="147"/>
      <c r="G10" s="42"/>
    </row>
    <row r="11" spans="2:19" ht="15" thickBot="1" x14ac:dyDescent="0.35">
      <c r="C11" s="103" t="s">
        <v>597</v>
      </c>
      <c r="D11" s="188"/>
      <c r="E11" s="147"/>
    </row>
    <row r="12" spans="2:19" hidden="1" x14ac:dyDescent="0.3">
      <c r="C12" s="148" t="e">
        <f>_xlfn.CONCAT(D6,D3,D5,E4)</f>
        <v>#N/A</v>
      </c>
      <c r="D12" s="32" t="str">
        <f>_xlfn.CONCAT(D7,D3,D5)</f>
        <v/>
      </c>
    </row>
    <row r="13" spans="2:19" x14ac:dyDescent="0.3">
      <c r="C13" s="148"/>
      <c r="D13" s="32"/>
    </row>
    <row r="14" spans="2:19" ht="18.600000000000001" thickBot="1" x14ac:dyDescent="0.4">
      <c r="C14" s="29" t="s">
        <v>402</v>
      </c>
      <c r="D14" s="30"/>
      <c r="E14" s="98"/>
      <c r="K14" s="32"/>
      <c r="L14" s="32"/>
    </row>
    <row r="15" spans="2:19" ht="19.8" thickBot="1" x14ac:dyDescent="0.5">
      <c r="C15" s="117" t="s">
        <v>399</v>
      </c>
      <c r="D15" s="118" t="s">
        <v>400</v>
      </c>
      <c r="E15" s="119" t="s">
        <v>401</v>
      </c>
      <c r="K15" s="32"/>
      <c r="L15" s="32"/>
    </row>
    <row r="16" spans="2:19" ht="15.6" x14ac:dyDescent="0.3">
      <c r="C16" s="207">
        <v>170</v>
      </c>
      <c r="D16" s="207" t="str">
        <f>IFERROR(IF(D7="Ja",VLOOKUP(D12,'Lijsten en tabellen'!E11:F14,2,FALSE),VLOOKUP(C12,'Lijsten en tabellen'!B10:C42,2,FALSE)),"")</f>
        <v/>
      </c>
      <c r="E16" s="207" t="str">
        <f>IF(D8="I",'Lijsten en tabellen'!S4,IF(D8="II",'Lijsten en tabellen'!T4,IF(D8="III",'Lijsten en tabellen'!U4,IF(D8="IV",'Lijsten en tabellen'!V4,""))))</f>
        <v/>
      </c>
      <c r="K16" s="32"/>
      <c r="L16" s="32"/>
    </row>
    <row r="17" spans="2:20" ht="15.6" x14ac:dyDescent="0.3">
      <c r="C17" s="98" t="s">
        <v>538</v>
      </c>
      <c r="D17" s="208"/>
      <c r="E17" s="208"/>
      <c r="K17" s="32"/>
      <c r="L17" s="32"/>
    </row>
    <row r="18" spans="2:20" x14ac:dyDescent="0.3">
      <c r="C18" s="148" t="e">
        <f>_xlfn.CONCAT(D3,D5,E5,B4)</f>
        <v>#N/A</v>
      </c>
      <c r="K18" s="32"/>
    </row>
    <row r="19" spans="2:20" ht="18" x14ac:dyDescent="0.35">
      <c r="C19" s="29" t="s">
        <v>413</v>
      </c>
      <c r="E19" s="31"/>
      <c r="F19" s="31"/>
      <c r="G19" s="31"/>
      <c r="H19" s="31"/>
      <c r="I19" s="31"/>
      <c r="K19" s="32"/>
    </row>
    <row r="20" spans="2:20" ht="18" x14ac:dyDescent="0.35">
      <c r="C20" s="192" t="s">
        <v>516</v>
      </c>
      <c r="E20" s="31"/>
      <c r="F20" s="31"/>
      <c r="G20" s="31"/>
      <c r="H20" s="31"/>
      <c r="I20" s="31"/>
      <c r="K20" s="32"/>
      <c r="T20" s="29"/>
    </row>
    <row r="21" spans="2:20" ht="19.2" x14ac:dyDescent="0.3">
      <c r="D21" s="41" t="s">
        <v>400</v>
      </c>
      <c r="E21" s="41" t="s">
        <v>414</v>
      </c>
      <c r="F21" s="41" t="s">
        <v>415</v>
      </c>
      <c r="G21" s="41" t="s">
        <v>416</v>
      </c>
      <c r="H21" s="41" t="s">
        <v>417</v>
      </c>
      <c r="I21" s="41" t="s">
        <v>418</v>
      </c>
      <c r="J21" s="41" t="s">
        <v>419</v>
      </c>
      <c r="K21" s="32"/>
    </row>
    <row r="22" spans="2:20" ht="15.6" hidden="1" x14ac:dyDescent="0.3">
      <c r="B22" t="s">
        <v>516</v>
      </c>
      <c r="C22" s="41" t="s">
        <v>450</v>
      </c>
      <c r="D22" s="209" t="e">
        <f>VLOOKUP(C18,'Algemene adviezen'!G3:N14,2,FALSE)</f>
        <v>#N/A</v>
      </c>
      <c r="E22" s="209" t="e">
        <f>VLOOKUP(C18,'Algemene adviezen'!G3:N14,3,FALSE)</f>
        <v>#N/A</v>
      </c>
      <c r="F22" s="209" t="e">
        <f>VLOOKUP(C18,'Algemene adviezen'!G3:N14,4,FALSE)</f>
        <v>#N/A</v>
      </c>
      <c r="G22" s="209" t="e">
        <f>VLOOKUP(C18,'Algemene adviezen'!G3:N14,5,FALSE)</f>
        <v>#N/A</v>
      </c>
      <c r="H22" s="209" t="e">
        <f>VLOOKUP(C18,'Algemene adviezen'!G3:N14,6,FALSE)</f>
        <v>#N/A</v>
      </c>
      <c r="I22" s="209" t="e">
        <f>VLOOKUP(C18,'Algemene adviezen'!G3:N14,7,FALSE)</f>
        <v>#N/A</v>
      </c>
      <c r="J22" s="209" t="e">
        <f>VLOOKUP(C18,'Algemene adviezen'!G3:N14,8,FALSE)</f>
        <v>#N/A</v>
      </c>
    </row>
    <row r="23" spans="2:20" ht="15.6" hidden="1" x14ac:dyDescent="0.3">
      <c r="B23" t="s">
        <v>517</v>
      </c>
      <c r="C23" s="41" t="s">
        <v>522</v>
      </c>
      <c r="D23" s="209" t="e">
        <f>D22</f>
        <v>#N/A</v>
      </c>
      <c r="E23" s="209" t="e">
        <f t="shared" ref="E23:J23" si="3">E22</f>
        <v>#N/A</v>
      </c>
      <c r="F23" s="209" t="e">
        <f t="shared" si="3"/>
        <v>#N/A</v>
      </c>
      <c r="G23" s="209" t="e">
        <f t="shared" si="3"/>
        <v>#N/A</v>
      </c>
      <c r="H23" s="209" t="e">
        <f t="shared" si="3"/>
        <v>#N/A</v>
      </c>
      <c r="I23" s="209" t="e">
        <f t="shared" si="3"/>
        <v>#N/A</v>
      </c>
      <c r="J23" s="209" t="e">
        <f t="shared" si="3"/>
        <v>#N/A</v>
      </c>
    </row>
    <row r="24" spans="2:20" ht="15.6" hidden="1" x14ac:dyDescent="0.3">
      <c r="B24" t="s">
        <v>516</v>
      </c>
      <c r="C24" s="41" t="s">
        <v>449</v>
      </c>
      <c r="D24" s="210"/>
      <c r="E24" s="210"/>
      <c r="F24" s="210"/>
      <c r="G24" s="210"/>
      <c r="H24" s="210"/>
      <c r="I24" s="210"/>
      <c r="J24" s="210"/>
    </row>
    <row r="25" spans="2:20" ht="15.6" hidden="1" x14ac:dyDescent="0.3">
      <c r="B25" t="str">
        <f>IFERROR(IF($D$10&gt;0,"Per snede",""),"Per snede")</f>
        <v/>
      </c>
      <c r="C25" s="41" t="s">
        <v>465</v>
      </c>
      <c r="D25" s="210" t="str">
        <f>IF($B$35="Per snede",D35,"")</f>
        <v/>
      </c>
      <c r="E25" s="210" t="str">
        <f t="shared" ref="E25:J25" si="4">IF($B$35="Per snede",E35,"")</f>
        <v/>
      </c>
      <c r="F25" s="210" t="str">
        <f t="shared" si="4"/>
        <v/>
      </c>
      <c r="G25" s="210" t="str">
        <f t="shared" si="4"/>
        <v/>
      </c>
      <c r="H25" s="210" t="str">
        <f t="shared" si="4"/>
        <v/>
      </c>
      <c r="I25" s="210" t="str">
        <f t="shared" si="4"/>
        <v/>
      </c>
      <c r="J25" s="210" t="str">
        <f t="shared" si="4"/>
        <v/>
      </c>
    </row>
    <row r="26" spans="2:20" ht="15.6" hidden="1" x14ac:dyDescent="0.3">
      <c r="B26" t="str">
        <f>IFERROR(IF($D$10&gt;1,"Per snede",""),"Per snede")</f>
        <v/>
      </c>
      <c r="C26" s="41" t="s">
        <v>499</v>
      </c>
      <c r="D26" s="210" t="str">
        <f>IF($B$36="Per snede",D36,"")</f>
        <v/>
      </c>
      <c r="E26" s="210" t="str">
        <f t="shared" ref="E26:J26" si="5">IF($B$36="Per snede",E36,"")</f>
        <v/>
      </c>
      <c r="F26" s="210" t="str">
        <f t="shared" si="5"/>
        <v/>
      </c>
      <c r="G26" s="210" t="str">
        <f t="shared" si="5"/>
        <v/>
      </c>
      <c r="H26" s="210" t="str">
        <f t="shared" si="5"/>
        <v/>
      </c>
      <c r="I26" s="210" t="str">
        <f t="shared" si="5"/>
        <v/>
      </c>
      <c r="J26" s="210" t="str">
        <f t="shared" si="5"/>
        <v/>
      </c>
    </row>
    <row r="27" spans="2:20" ht="15.6" hidden="1" x14ac:dyDescent="0.3">
      <c r="B27" t="str">
        <f>IFERROR(IF($D$10&gt;2,"Per snede",""),"Per snede")</f>
        <v/>
      </c>
      <c r="C27" s="41" t="s">
        <v>500</v>
      </c>
      <c r="D27" s="210" t="str">
        <f>IF($B$37="Per snede",D37,"")</f>
        <v/>
      </c>
      <c r="E27" s="210" t="str">
        <f t="shared" ref="E27:J27" si="6">IF($B$37="Per snede",E37,"")</f>
        <v/>
      </c>
      <c r="F27" s="210" t="str">
        <f t="shared" si="6"/>
        <v/>
      </c>
      <c r="G27" s="210" t="str">
        <f t="shared" si="6"/>
        <v/>
      </c>
      <c r="H27" s="210" t="str">
        <f t="shared" si="6"/>
        <v/>
      </c>
      <c r="I27" s="210" t="str">
        <f t="shared" si="6"/>
        <v/>
      </c>
      <c r="J27" s="210" t="str">
        <f t="shared" si="6"/>
        <v/>
      </c>
    </row>
    <row r="28" spans="2:20" ht="15.6" hidden="1" x14ac:dyDescent="0.3">
      <c r="B28" t="str">
        <f>IFERROR(IF($D$10&gt;3,"Per snede",""),"Per snede")</f>
        <v/>
      </c>
      <c r="C28" s="41" t="s">
        <v>501</v>
      </c>
      <c r="D28" s="210" t="str">
        <f>IF($B$38="Per snede",D38,"")</f>
        <v/>
      </c>
      <c r="E28" s="210" t="str">
        <f t="shared" ref="E28:J28" si="7">IF($B$38="Per snede",E38,"")</f>
        <v/>
      </c>
      <c r="F28" s="210" t="str">
        <f t="shared" si="7"/>
        <v/>
      </c>
      <c r="G28" s="210" t="str">
        <f t="shared" si="7"/>
        <v/>
      </c>
      <c r="H28" s="210" t="str">
        <f t="shared" si="7"/>
        <v/>
      </c>
      <c r="I28" s="210" t="str">
        <f t="shared" si="7"/>
        <v/>
      </c>
      <c r="J28" s="210" t="str">
        <f t="shared" si="7"/>
        <v/>
      </c>
    </row>
    <row r="29" spans="2:20" ht="15.6" hidden="1" x14ac:dyDescent="0.3">
      <c r="B29" t="str">
        <f>IFERROR(IF($D$10&gt;4,"Per snede",""),"Per snede")</f>
        <v/>
      </c>
      <c r="C29" s="41" t="s">
        <v>502</v>
      </c>
      <c r="D29" s="210" t="str">
        <f>IF($B$39="Per snede",D39,"")</f>
        <v/>
      </c>
      <c r="E29" s="210" t="str">
        <f t="shared" ref="E29:J29" si="8">IF($B$39="Per snede",E39,"")</f>
        <v/>
      </c>
      <c r="F29" s="210" t="str">
        <f t="shared" si="8"/>
        <v/>
      </c>
      <c r="G29" s="210" t="str">
        <f t="shared" si="8"/>
        <v/>
      </c>
      <c r="H29" s="210" t="str">
        <f t="shared" si="8"/>
        <v/>
      </c>
      <c r="I29" s="210" t="str">
        <f t="shared" si="8"/>
        <v/>
      </c>
      <c r="J29" s="210" t="str">
        <f t="shared" si="8"/>
        <v/>
      </c>
    </row>
    <row r="30" spans="2:20" ht="15.6" hidden="1" x14ac:dyDescent="0.3">
      <c r="B30" t="str">
        <f>IFERROR(IF($D$10&gt;5,"Per snede",""),"Per snede")</f>
        <v/>
      </c>
      <c r="C30" s="41" t="s">
        <v>503</v>
      </c>
      <c r="D30" s="210" t="str">
        <f>IF($B$40="Per snede",D40,"")</f>
        <v/>
      </c>
      <c r="E30" s="210" t="str">
        <f t="shared" ref="E30:J30" si="9">IF($B$40="Per snede",E40,"")</f>
        <v/>
      </c>
      <c r="F30" s="210" t="str">
        <f t="shared" si="9"/>
        <v/>
      </c>
      <c r="G30" s="210" t="str">
        <f t="shared" si="9"/>
        <v/>
      </c>
      <c r="H30" s="210" t="str">
        <f t="shared" si="9"/>
        <v/>
      </c>
      <c r="I30" s="210" t="str">
        <f t="shared" si="9"/>
        <v/>
      </c>
      <c r="J30" s="210" t="str">
        <f t="shared" si="9"/>
        <v/>
      </c>
    </row>
    <row r="31" spans="2:20" ht="15.6" hidden="1" x14ac:dyDescent="0.3">
      <c r="B31" t="s">
        <v>517</v>
      </c>
      <c r="C31" s="41" t="s">
        <v>530</v>
      </c>
      <c r="D31" s="209">
        <f>SUM(D25:D30)</f>
        <v>0</v>
      </c>
      <c r="E31" s="209">
        <f t="shared" ref="E31:J31" si="10">SUM(E25:E30)</f>
        <v>0</v>
      </c>
      <c r="F31" s="209">
        <f t="shared" si="10"/>
        <v>0</v>
      </c>
      <c r="G31" s="209">
        <f t="shared" si="10"/>
        <v>0</v>
      </c>
      <c r="H31" s="209">
        <f t="shared" si="10"/>
        <v>0</v>
      </c>
      <c r="I31" s="209">
        <f t="shared" si="10"/>
        <v>0</v>
      </c>
      <c r="J31" s="209">
        <f t="shared" si="10"/>
        <v>0</v>
      </c>
    </row>
    <row r="32" spans="2:20" hidden="1" x14ac:dyDescent="0.3"/>
    <row r="33" spans="2:26" ht="19.8" hidden="1" thickBot="1" x14ac:dyDescent="0.35">
      <c r="D33" s="121" t="s">
        <v>400</v>
      </c>
      <c r="E33" s="122" t="s">
        <v>414</v>
      </c>
      <c r="F33" s="122" t="s">
        <v>415</v>
      </c>
      <c r="G33" s="122" t="s">
        <v>416</v>
      </c>
      <c r="H33" s="122" t="s">
        <v>417</v>
      </c>
      <c r="I33" s="122" t="s">
        <v>418</v>
      </c>
      <c r="J33" s="123" t="s">
        <v>419</v>
      </c>
      <c r="L33" s="33"/>
      <c r="M33" s="33"/>
      <c r="N33" s="33"/>
      <c r="O33" s="33"/>
      <c r="P33" s="33"/>
      <c r="T33" s="33"/>
      <c r="U33" s="214" t="s">
        <v>605</v>
      </c>
      <c r="V33" s="215"/>
      <c r="W33" s="215"/>
      <c r="X33" s="216"/>
      <c r="Y33" s="216"/>
      <c r="Z33" s="217"/>
    </row>
    <row r="34" spans="2:26" ht="15.6" x14ac:dyDescent="0.3">
      <c r="B34" t="str" cm="1">
        <f t="array" ref="B34:C35">_xlfn._xlws.FILTER(B22:C30,B22:B30=C20)</f>
        <v>Per jaar</v>
      </c>
      <c r="C34" s="85" t="str">
        <v>Algemeen advies</v>
      </c>
      <c r="D34" s="120" t="str">
        <f t="shared" ref="D34:J34" si="11">IFERROR(D22,"")</f>
        <v/>
      </c>
      <c r="E34" s="120" t="str">
        <f t="shared" si="11"/>
        <v/>
      </c>
      <c r="F34" s="120" t="str">
        <f t="shared" si="11"/>
        <v/>
      </c>
      <c r="G34" s="120" t="str">
        <f t="shared" si="11"/>
        <v/>
      </c>
      <c r="H34" s="120" t="str">
        <f t="shared" si="11"/>
        <v/>
      </c>
      <c r="I34" s="120" t="str">
        <f t="shared" si="11"/>
        <v/>
      </c>
      <c r="J34" s="120" t="str">
        <f t="shared" si="11"/>
        <v/>
      </c>
      <c r="T34" s="33"/>
      <c r="U34" s="33"/>
      <c r="V34" s="33"/>
      <c r="W34" s="33"/>
    </row>
    <row r="35" spans="2:26" ht="15.6" x14ac:dyDescent="0.3">
      <c r="B35" t="str">
        <v>Per jaar</v>
      </c>
      <c r="C35" s="85" t="str">
        <v>Advies eigen analyse</v>
      </c>
      <c r="D35" s="87"/>
      <c r="E35" s="87"/>
      <c r="F35" s="87"/>
      <c r="G35" s="87"/>
      <c r="H35" s="87"/>
      <c r="I35" s="87"/>
      <c r="J35" s="87"/>
      <c r="M35" s="206"/>
      <c r="N35" s="206"/>
    </row>
    <row r="36" spans="2:26" ht="15.6" x14ac:dyDescent="0.3">
      <c r="C36" s="85"/>
      <c r="D36" s="191"/>
      <c r="E36" s="191"/>
      <c r="F36" s="191"/>
      <c r="G36" s="191"/>
      <c r="H36" s="191"/>
      <c r="I36" s="191"/>
      <c r="J36" s="191"/>
      <c r="M36" s="1"/>
      <c r="N36" s="1"/>
      <c r="U36" s="211"/>
      <c r="V36" s="211"/>
    </row>
    <row r="37" spans="2:26" ht="15.6" x14ac:dyDescent="0.3">
      <c r="C37" s="85"/>
      <c r="D37" s="191"/>
      <c r="E37" s="191"/>
      <c r="F37" s="191"/>
      <c r="G37" s="191"/>
      <c r="H37" s="191"/>
      <c r="I37" s="191"/>
      <c r="J37" s="191"/>
      <c r="M37" s="1"/>
      <c r="N37" s="1"/>
      <c r="U37" s="158"/>
      <c r="V37" s="158"/>
    </row>
    <row r="38" spans="2:26" ht="15.6" x14ac:dyDescent="0.3">
      <c r="C38" s="85"/>
      <c r="D38" s="191"/>
      <c r="E38" s="191"/>
      <c r="F38" s="191"/>
      <c r="G38" s="191"/>
      <c r="H38" s="191"/>
      <c r="I38" s="191"/>
      <c r="J38" s="191"/>
      <c r="M38" s="1"/>
      <c r="N38" s="1"/>
      <c r="U38" s="158"/>
      <c r="V38" s="158"/>
    </row>
    <row r="39" spans="2:26" ht="15.6" x14ac:dyDescent="0.3">
      <c r="C39" s="85"/>
      <c r="D39" s="191"/>
      <c r="E39" s="191"/>
      <c r="F39" s="191"/>
      <c r="G39" s="191"/>
      <c r="H39" s="191"/>
      <c r="I39" s="191"/>
      <c r="J39" s="191"/>
      <c r="U39" s="158"/>
      <c r="V39" s="158"/>
    </row>
    <row r="40" spans="2:26" ht="15.6" x14ac:dyDescent="0.3">
      <c r="C40" s="85"/>
      <c r="D40" s="191"/>
      <c r="E40" s="191"/>
      <c r="F40" s="191"/>
      <c r="G40" s="191"/>
      <c r="H40" s="191"/>
      <c r="I40" s="191"/>
      <c r="J40" s="191"/>
      <c r="U40" s="158"/>
      <c r="V40" s="158"/>
    </row>
    <row r="41" spans="2:26" ht="15.6" x14ac:dyDescent="0.3">
      <c r="C41" s="85"/>
      <c r="D41" s="1"/>
      <c r="E41" s="1"/>
      <c r="F41" s="1"/>
      <c r="G41" s="1"/>
      <c r="H41" s="1"/>
      <c r="I41" s="1"/>
      <c r="J41" s="1"/>
    </row>
    <row r="42" spans="2:26" ht="18" x14ac:dyDescent="0.35">
      <c r="C42" s="29" t="s">
        <v>628</v>
      </c>
    </row>
    <row r="43" spans="2:26" ht="18.600000000000001" thickBot="1" x14ac:dyDescent="0.4">
      <c r="C43" s="29"/>
      <c r="N43" s="218" t="s">
        <v>534</v>
      </c>
      <c r="O43" s="218"/>
      <c r="P43" s="218"/>
      <c r="Q43" s="218"/>
    </row>
    <row r="44" spans="2:26" ht="19.8" thickBot="1" x14ac:dyDescent="0.35">
      <c r="C44" s="47" t="s">
        <v>464</v>
      </c>
      <c r="D44" s="108" t="s">
        <v>466</v>
      </c>
      <c r="E44" s="48" t="s">
        <v>470</v>
      </c>
      <c r="F44" s="48" t="s">
        <v>400</v>
      </c>
      <c r="G44" s="106" t="s">
        <v>414</v>
      </c>
      <c r="H44" s="106" t="s">
        <v>415</v>
      </c>
      <c r="I44" s="106" t="s">
        <v>416</v>
      </c>
      <c r="J44" s="106" t="s">
        <v>417</v>
      </c>
      <c r="K44" s="106" t="s">
        <v>418</v>
      </c>
      <c r="L44" s="106" t="s">
        <v>419</v>
      </c>
      <c r="M44" s="107" t="s">
        <v>615</v>
      </c>
      <c r="N44" s="74" t="s">
        <v>533</v>
      </c>
      <c r="O44" s="74" t="s">
        <v>512</v>
      </c>
      <c r="P44" s="74" t="s">
        <v>513</v>
      </c>
      <c r="Q44" s="74" t="s">
        <v>514</v>
      </c>
    </row>
    <row r="45" spans="2:26" x14ac:dyDescent="0.3">
      <c r="C45" s="104" t="str">
        <f>IF(NOT('Te gebruiken meststoffen'!R3=0), 'Te gebruiken meststoffen'!R3,"")</f>
        <v/>
      </c>
      <c r="D45" s="104" t="str">
        <f>IFERROR(VLOOKUP(C45,'Te gebruiken meststoffen'!$R$3:$AA$10,2,FALSE),"")</f>
        <v/>
      </c>
      <c r="E45" s="105">
        <f>IFERROR(VLOOKUP(C45,'Te gebruiken meststoffen'!$R$3:$AA$10,3,FALSE),0)</f>
        <v>0</v>
      </c>
      <c r="F45" s="105">
        <f>IFERROR(VLOOKUP(C45,'Te gebruiken meststoffen'!$R$3:$AA$10,4,FALSE),0)</f>
        <v>0</v>
      </c>
      <c r="G45" s="105">
        <f>IFERROR(VLOOKUP(C45,'Te gebruiken meststoffen'!$R$3:$AA$10,5,FALSE),0)</f>
        <v>0</v>
      </c>
      <c r="H45" s="105">
        <f>IFERROR(VLOOKUP(C45,'Te gebruiken meststoffen'!$R$3:$AA$10,6,FALSE),0)</f>
        <v>0</v>
      </c>
      <c r="I45" s="105">
        <f>IFERROR(VLOOKUP(C45,'Te gebruiken meststoffen'!$R$3:$AA$10,7,FALSE),0)</f>
        <v>0</v>
      </c>
      <c r="J45" s="105">
        <f>IFERROR(VLOOKUP(C45,'Te gebruiken meststoffen'!$R$3:$AA$10,8,FALSE),0)</f>
        <v>0</v>
      </c>
      <c r="K45" s="105">
        <f>IFERROR(VLOOKUP(C45,'Te gebruiken meststoffen'!$R$3:$AA$10,9,FALSE),0)</f>
        <v>0</v>
      </c>
      <c r="L45" s="129">
        <f>IFERROR(VLOOKUP(C45,'Te gebruiken meststoffen'!$R$3:$AB$10,10,FALSE),0)</f>
        <v>0</v>
      </c>
      <c r="M45" s="105">
        <f>IFERROR(VLOOKUP(C45,'Te gebruiken meststoffen'!$R$3:$AH$10,17,FALSE),0)</f>
        <v>0</v>
      </c>
      <c r="N45" s="78">
        <f>IFERROR(VLOOKUP(C45,'Te gebruiken meststoffen'!$R$3:$AG$10,13,FALSE),0)</f>
        <v>0</v>
      </c>
      <c r="O45" s="78">
        <f>IFERROR(VLOOKUP(C45,'Te gebruiken meststoffen'!$R$3:$AG$10,14,FALSE),0)</f>
        <v>0</v>
      </c>
      <c r="P45" s="78">
        <f>IFERROR(VLOOKUP(C45,'Te gebruiken meststoffen'!$R$3:$AG$10,15,FALSE),0)</f>
        <v>0</v>
      </c>
      <c r="Q45" s="78">
        <f>IFERROR(VLOOKUP(C45,'Te gebruiken meststoffen'!$R$3:$AG$10,16,FALSE),0)</f>
        <v>0</v>
      </c>
      <c r="T45" s="149" t="e">
        <f>VLOOKUP(C45,'Te gebruiken meststoffen'!$R$3:$AB$10,11,FALSE)</f>
        <v>#N/A</v>
      </c>
    </row>
    <row r="46" spans="2:26" x14ac:dyDescent="0.3">
      <c r="C46" s="104" t="str">
        <f>IF(NOT('Te gebruiken meststoffen'!R4=0), 'Te gebruiken meststoffen'!R4,"")</f>
        <v/>
      </c>
      <c r="D46" s="86" t="str">
        <f>IFERROR(VLOOKUP(C46,'Te gebruiken meststoffen'!$R$3:$AA$10,2,FALSE),"")</f>
        <v/>
      </c>
      <c r="E46" s="99">
        <f>IFERROR(VLOOKUP(C46,'Te gebruiken meststoffen'!$R$3:$AA$10,3,FALSE),0)</f>
        <v>0</v>
      </c>
      <c r="F46" s="99">
        <f>IFERROR(VLOOKUP(C46,'Te gebruiken meststoffen'!$R$3:$AA$10,4,FALSE),0)</f>
        <v>0</v>
      </c>
      <c r="G46" s="99">
        <f>IFERROR(VLOOKUP(C46,'Te gebruiken meststoffen'!$R$3:$AA$10,5,FALSE),0)</f>
        <v>0</v>
      </c>
      <c r="H46" s="99">
        <f>IFERROR(VLOOKUP(C46,'Te gebruiken meststoffen'!$R$3:$AA$10,6,FALSE),0)</f>
        <v>0</v>
      </c>
      <c r="I46" s="99">
        <f>IFERROR(VLOOKUP(C46,'Te gebruiken meststoffen'!$R$3:$AA$10,7,FALSE),0)</f>
        <v>0</v>
      </c>
      <c r="J46" s="99">
        <f>IFERROR(VLOOKUP(C46,'Te gebruiken meststoffen'!$R$3:$AA$10,8,FALSE),0)</f>
        <v>0</v>
      </c>
      <c r="K46" s="99">
        <f>IFERROR(VLOOKUP(C46,'Te gebruiken meststoffen'!$R$3:$AA$10,9,FALSE),0)</f>
        <v>0</v>
      </c>
      <c r="L46" s="130">
        <f>IFERROR(VLOOKUP(C46,'Te gebruiken meststoffen'!$R$3:$AB$10,10,FALSE),0)</f>
        <v>0</v>
      </c>
      <c r="M46" s="99">
        <f>IFERROR(VLOOKUP(C46,'Te gebruiken meststoffen'!$R$3:$AH$10,17,FALSE),0)</f>
        <v>0</v>
      </c>
      <c r="N46" s="78">
        <f>IFERROR(VLOOKUP(C46,'Te gebruiken meststoffen'!$R$3:$AG$10,13,FALSE),0)</f>
        <v>0</v>
      </c>
      <c r="O46" s="78">
        <f>IFERROR(VLOOKUP(C46,'Te gebruiken meststoffen'!$R$3:$AG$10,14,FALSE),0)</f>
        <v>0</v>
      </c>
      <c r="P46" s="78">
        <f>IFERROR(VLOOKUP(C46,'Te gebruiken meststoffen'!$R$3:$AG$10,15,FALSE),0)</f>
        <v>0</v>
      </c>
      <c r="Q46" s="78">
        <f>IFERROR(VLOOKUP(C46,'Te gebruiken meststoffen'!$R$3:$AG$10,16,FALSE),0)</f>
        <v>0</v>
      </c>
      <c r="T46" s="149" t="e">
        <f>VLOOKUP(C46,'Te gebruiken meststoffen'!$R$3:$AB$10,11,FALSE)</f>
        <v>#N/A</v>
      </c>
    </row>
    <row r="47" spans="2:26" x14ac:dyDescent="0.3">
      <c r="C47" s="104" t="str">
        <f>IF(NOT('Te gebruiken meststoffen'!R5=0), 'Te gebruiken meststoffen'!R5,"")</f>
        <v/>
      </c>
      <c r="D47" s="86" t="str">
        <f>IFERROR(VLOOKUP(C47,'Te gebruiken meststoffen'!$R$3:$AA$10,2,FALSE),"")</f>
        <v/>
      </c>
      <c r="E47" s="99">
        <f>IFERROR(VLOOKUP(C47,'Te gebruiken meststoffen'!$R$3:$AA$10,3,FALSE),0)</f>
        <v>0</v>
      </c>
      <c r="F47" s="99">
        <f>IFERROR(VLOOKUP(C47,'Te gebruiken meststoffen'!$R$3:$AA$10,4,FALSE),0)</f>
        <v>0</v>
      </c>
      <c r="G47" s="99">
        <f>IFERROR(VLOOKUP(C47,'Te gebruiken meststoffen'!$R$3:$AA$10,5,FALSE),0)</f>
        <v>0</v>
      </c>
      <c r="H47" s="99">
        <f>IFERROR(VLOOKUP(C47,'Te gebruiken meststoffen'!$R$3:$AA$10,6,FALSE),0)</f>
        <v>0</v>
      </c>
      <c r="I47" s="99">
        <f>IFERROR(VLOOKUP(C47,'Te gebruiken meststoffen'!$R$3:$AA$10,7,FALSE),0)</f>
        <v>0</v>
      </c>
      <c r="J47" s="99">
        <f>IFERROR(VLOOKUP(C47,'Te gebruiken meststoffen'!$R$3:$AA$10,8,FALSE),0)</f>
        <v>0</v>
      </c>
      <c r="K47" s="99">
        <f>IFERROR(VLOOKUP(C47,'Te gebruiken meststoffen'!$R$3:$AA$10,9,FALSE),0)</f>
        <v>0</v>
      </c>
      <c r="L47" s="130">
        <f>IFERROR(VLOOKUP(C47,'Te gebruiken meststoffen'!$R$3:$AB$10,10,FALSE),0)</f>
        <v>0</v>
      </c>
      <c r="M47" s="99">
        <f>IFERROR(VLOOKUP(C47,'Te gebruiken meststoffen'!$R$3:$AH$10,17,FALSE),0)</f>
        <v>0</v>
      </c>
      <c r="N47" s="78">
        <f>IFERROR(VLOOKUP(C47,'Te gebruiken meststoffen'!$R$3:$AG$10,13,FALSE),0)</f>
        <v>0</v>
      </c>
      <c r="O47" s="78">
        <f>IFERROR(VLOOKUP(C47,'Te gebruiken meststoffen'!$R$3:$AG$10,14,FALSE),0)</f>
        <v>0</v>
      </c>
      <c r="P47" s="78">
        <f>IFERROR(VLOOKUP(C47,'Te gebruiken meststoffen'!$R$3:$AG$10,15,FALSE),0)</f>
        <v>0</v>
      </c>
      <c r="Q47" s="78">
        <f>IFERROR(VLOOKUP(C47,'Te gebruiken meststoffen'!$R$3:$AG$10,16,FALSE),0)</f>
        <v>0</v>
      </c>
      <c r="T47" s="149" t="e">
        <f>VLOOKUP(C47,'Te gebruiken meststoffen'!$R$3:$AB$10,11,FALSE)</f>
        <v>#N/A</v>
      </c>
    </row>
    <row r="48" spans="2:26" x14ac:dyDescent="0.3">
      <c r="C48" s="104" t="str">
        <f>IF(NOT('Te gebruiken meststoffen'!R6=0), 'Te gebruiken meststoffen'!R6,"")</f>
        <v/>
      </c>
      <c r="D48" s="86" t="str">
        <f>IFERROR(VLOOKUP(C48,'Te gebruiken meststoffen'!$R$3:$AA$10,2,FALSE),"")</f>
        <v/>
      </c>
      <c r="E48" s="99">
        <f>IFERROR(VLOOKUP(C48,'Te gebruiken meststoffen'!$R$3:$AA$10,3,FALSE),0)</f>
        <v>0</v>
      </c>
      <c r="F48" s="99">
        <f>IFERROR(VLOOKUP(C48,'Te gebruiken meststoffen'!$R$3:$AA$10,4,FALSE),0)</f>
        <v>0</v>
      </c>
      <c r="G48" s="99">
        <f>IFERROR(VLOOKUP(C48,'Te gebruiken meststoffen'!$R$3:$AA$10,5,FALSE),0)</f>
        <v>0</v>
      </c>
      <c r="H48" s="99">
        <f>IFERROR(VLOOKUP(C48,'Te gebruiken meststoffen'!$R$3:$AA$10,6,FALSE),0)</f>
        <v>0</v>
      </c>
      <c r="I48" s="99">
        <f>IFERROR(VLOOKUP(C48,'Te gebruiken meststoffen'!$R$3:$AA$10,7,FALSE),0)</f>
        <v>0</v>
      </c>
      <c r="J48" s="99">
        <f>IFERROR(VLOOKUP(C48,'Te gebruiken meststoffen'!$R$3:$AA$10,8,FALSE),0)</f>
        <v>0</v>
      </c>
      <c r="K48" s="99">
        <f>IFERROR(VLOOKUP(C48,'Te gebruiken meststoffen'!$R$3:$AA$10,9,FALSE),0)</f>
        <v>0</v>
      </c>
      <c r="L48" s="130">
        <f>IFERROR(VLOOKUP(C48,'Te gebruiken meststoffen'!$R$3:$AB$10,10,FALSE),0)</f>
        <v>0</v>
      </c>
      <c r="M48" s="99">
        <f>IFERROR(VLOOKUP(C48,'Te gebruiken meststoffen'!$R$3:$AH$10,17,FALSE),0)</f>
        <v>0</v>
      </c>
      <c r="N48" s="78">
        <f>IFERROR(VLOOKUP(C48,'Te gebruiken meststoffen'!$R$3:$AG$10,13,FALSE),0)</f>
        <v>0</v>
      </c>
      <c r="O48" s="78">
        <f>IFERROR(VLOOKUP(C48,'Te gebruiken meststoffen'!$R$3:$AG$10,14,FALSE),0)</f>
        <v>0</v>
      </c>
      <c r="P48" s="78">
        <f>IFERROR(VLOOKUP(C48,'Te gebruiken meststoffen'!$R$3:$AG$10,15,FALSE),0)</f>
        <v>0</v>
      </c>
      <c r="Q48" s="78">
        <f>IFERROR(VLOOKUP(C48,'Te gebruiken meststoffen'!$R$3:$AG$10,16,FALSE),0)</f>
        <v>0</v>
      </c>
      <c r="T48" s="149" t="e">
        <f>VLOOKUP(C48,'Te gebruiken meststoffen'!$R$3:$AB$10,11,FALSE)</f>
        <v>#N/A</v>
      </c>
    </row>
    <row r="49" spans="1:38" x14ac:dyDescent="0.3">
      <c r="C49" s="104" t="str">
        <f>IF(NOT('Te gebruiken meststoffen'!R7=0), 'Te gebruiken meststoffen'!R7,"")</f>
        <v/>
      </c>
      <c r="D49" s="86" t="str">
        <f>IFERROR(VLOOKUP(C49,'Te gebruiken meststoffen'!$R$3:$AA$10,2,FALSE),"")</f>
        <v/>
      </c>
      <c r="E49" s="99">
        <f>IFERROR(VLOOKUP(C49,'Te gebruiken meststoffen'!$R$3:$AA$10,3,FALSE),0)</f>
        <v>0</v>
      </c>
      <c r="F49" s="99">
        <f>IFERROR(VLOOKUP(C49,'Te gebruiken meststoffen'!$R$3:$AA$10,4,FALSE),0)</f>
        <v>0</v>
      </c>
      <c r="G49" s="99">
        <f>IFERROR(VLOOKUP(C49,'Te gebruiken meststoffen'!$R$3:$AA$10,5,FALSE),0)</f>
        <v>0</v>
      </c>
      <c r="H49" s="99">
        <f>IFERROR(VLOOKUP(C49,'Te gebruiken meststoffen'!$R$3:$AA$10,6,FALSE),0)</f>
        <v>0</v>
      </c>
      <c r="I49" s="99">
        <f>IFERROR(VLOOKUP(C49,'Te gebruiken meststoffen'!$R$3:$AA$10,7,FALSE),0)</f>
        <v>0</v>
      </c>
      <c r="J49" s="99">
        <f>IFERROR(VLOOKUP(C49,'Te gebruiken meststoffen'!$R$3:$AA$10,8,FALSE),0)</f>
        <v>0</v>
      </c>
      <c r="K49" s="99">
        <f>IFERROR(VLOOKUP(C49,'Te gebruiken meststoffen'!$R$3:$AA$10,9,FALSE),0)</f>
        <v>0</v>
      </c>
      <c r="L49" s="130">
        <f>IFERROR(VLOOKUP(C49,'Te gebruiken meststoffen'!$R$3:$AB$10,10,FALSE),0)</f>
        <v>0</v>
      </c>
      <c r="M49" s="99">
        <f>IFERROR(VLOOKUP(C49,'Te gebruiken meststoffen'!$R$3:$AH$10,17,FALSE),0)</f>
        <v>0</v>
      </c>
      <c r="N49" s="78">
        <f>IFERROR(VLOOKUP(C49,'Te gebruiken meststoffen'!$R$3:$AG$10,13,FALSE),0)</f>
        <v>0</v>
      </c>
      <c r="O49" s="78">
        <f>IFERROR(VLOOKUP(C49,'Te gebruiken meststoffen'!$R$3:$AG$10,14,FALSE),0)</f>
        <v>0</v>
      </c>
      <c r="P49" s="78">
        <f>IFERROR(VLOOKUP(C49,'Te gebruiken meststoffen'!$R$3:$AG$10,15,FALSE),0)</f>
        <v>0</v>
      </c>
      <c r="Q49" s="78">
        <f>IFERROR(VLOOKUP(C49,'Te gebruiken meststoffen'!$R$3:$AG$10,16,FALSE),0)</f>
        <v>0</v>
      </c>
      <c r="T49" s="149" t="e">
        <f>VLOOKUP(C49,'Te gebruiken meststoffen'!$R$3:$AB$10,11,FALSE)</f>
        <v>#N/A</v>
      </c>
    </row>
    <row r="50" spans="1:38" x14ac:dyDescent="0.3">
      <c r="C50" s="104" t="str">
        <f>IF(NOT('Te gebruiken meststoffen'!R8=0), 'Te gebruiken meststoffen'!R8,"")</f>
        <v/>
      </c>
      <c r="D50" s="86" t="str">
        <f>IFERROR(VLOOKUP(C50,'Te gebruiken meststoffen'!$R$3:$AA$10,2,FALSE),"")</f>
        <v/>
      </c>
      <c r="E50" s="99">
        <f>IFERROR(VLOOKUP(C50,'Te gebruiken meststoffen'!$R$3:$AA$10,3,FALSE),0)</f>
        <v>0</v>
      </c>
      <c r="F50" s="99">
        <f>IFERROR(VLOOKUP(C50,'Te gebruiken meststoffen'!$R$3:$AA$10,4,FALSE),0)</f>
        <v>0</v>
      </c>
      <c r="G50" s="99">
        <f>IFERROR(VLOOKUP(C50,'Te gebruiken meststoffen'!$R$3:$AA$10,5,FALSE),0)</f>
        <v>0</v>
      </c>
      <c r="H50" s="99">
        <f>IFERROR(VLOOKUP(C50,'Te gebruiken meststoffen'!$R$3:$AA$10,6,FALSE),0)</f>
        <v>0</v>
      </c>
      <c r="I50" s="99">
        <f>IFERROR(VLOOKUP(C50,'Te gebruiken meststoffen'!$R$3:$AA$10,7,FALSE),0)</f>
        <v>0</v>
      </c>
      <c r="J50" s="99">
        <f>IFERROR(VLOOKUP(C50,'Te gebruiken meststoffen'!$R$3:$AA$10,8,FALSE),0)</f>
        <v>0</v>
      </c>
      <c r="K50" s="99">
        <f>IFERROR(VLOOKUP(C50,'Te gebruiken meststoffen'!$R$3:$AA$10,9,FALSE),0)</f>
        <v>0</v>
      </c>
      <c r="L50" s="130">
        <f>IFERROR(VLOOKUP(C50,'Te gebruiken meststoffen'!$R$3:$AB$10,10,FALSE),0)</f>
        <v>0</v>
      </c>
      <c r="M50" s="99">
        <f>IFERROR(VLOOKUP(C50,'Te gebruiken meststoffen'!$R$3:$AH$10,17,FALSE),0)</f>
        <v>0</v>
      </c>
      <c r="N50" s="78">
        <f>IFERROR(VLOOKUP(C50,'Te gebruiken meststoffen'!$R$3:$AG$10,13,FALSE),0)</f>
        <v>0</v>
      </c>
      <c r="O50" s="78">
        <f>IFERROR(VLOOKUP(C50,'Te gebruiken meststoffen'!$R$3:$AG$10,14,FALSE),0)</f>
        <v>0</v>
      </c>
      <c r="P50" s="78">
        <f>IFERROR(VLOOKUP(C50,'Te gebruiken meststoffen'!$R$3:$AG$10,15,FALSE),0)</f>
        <v>0</v>
      </c>
      <c r="Q50" s="78">
        <f>IFERROR(VLOOKUP(C50,'Te gebruiken meststoffen'!$R$3:$AG$10,16,FALSE),0)</f>
        <v>0</v>
      </c>
      <c r="T50" s="149" t="e">
        <f>VLOOKUP(C50,'Te gebruiken meststoffen'!$R$3:$AB$10,11,FALSE)</f>
        <v>#N/A</v>
      </c>
    </row>
    <row r="51" spans="1:38" x14ac:dyDescent="0.3">
      <c r="C51" s="104" t="str">
        <f>IF(NOT('Te gebruiken meststoffen'!R9=0), 'Te gebruiken meststoffen'!R9,"")</f>
        <v/>
      </c>
      <c r="D51" s="86" t="str">
        <f>IFERROR(VLOOKUP(C51,'Te gebruiken meststoffen'!$R$3:$AA$10,2,FALSE),"")</f>
        <v/>
      </c>
      <c r="E51" s="99">
        <f>IFERROR(VLOOKUP(C51,'Te gebruiken meststoffen'!$R$3:$AA$10,3,FALSE),0)</f>
        <v>0</v>
      </c>
      <c r="F51" s="99">
        <f>IFERROR(VLOOKUP(C51,'Te gebruiken meststoffen'!$R$3:$AA$10,4,FALSE),0)</f>
        <v>0</v>
      </c>
      <c r="G51" s="99">
        <f>IFERROR(VLOOKUP(C51,'Te gebruiken meststoffen'!$R$3:$AA$10,5,FALSE),0)</f>
        <v>0</v>
      </c>
      <c r="H51" s="99">
        <f>IFERROR(VLOOKUP(C51,'Te gebruiken meststoffen'!$R$3:$AA$10,6,FALSE),0)</f>
        <v>0</v>
      </c>
      <c r="I51" s="99">
        <f>IFERROR(VLOOKUP(C51,'Te gebruiken meststoffen'!$R$3:$AA$10,7,FALSE),0)</f>
        <v>0</v>
      </c>
      <c r="J51" s="99">
        <f>IFERROR(VLOOKUP(C51,'Te gebruiken meststoffen'!$R$3:$AA$10,8,FALSE),0)</f>
        <v>0</v>
      </c>
      <c r="K51" s="99">
        <f>IFERROR(VLOOKUP(C51,'Te gebruiken meststoffen'!$R$3:$AA$10,9,FALSE),0)</f>
        <v>0</v>
      </c>
      <c r="L51" s="130">
        <f>IFERROR(VLOOKUP(C51,'Te gebruiken meststoffen'!$R$3:$AB$10,10,FALSE),0)</f>
        <v>0</v>
      </c>
      <c r="M51" s="99">
        <f>IFERROR(VLOOKUP(C51,'Te gebruiken meststoffen'!$R$3:$AH$10,17,FALSE),0)</f>
        <v>0</v>
      </c>
      <c r="N51" s="78">
        <f>IFERROR(VLOOKUP(C51,'Te gebruiken meststoffen'!$R$3:$AG$10,13,FALSE),0)</f>
        <v>0</v>
      </c>
      <c r="O51" s="78">
        <f>IFERROR(VLOOKUP(C51,'Te gebruiken meststoffen'!$R$3:$AG$10,14,FALSE),0)</f>
        <v>0</v>
      </c>
      <c r="P51" s="78">
        <f>IFERROR(VLOOKUP(C51,'Te gebruiken meststoffen'!$R$3:$AG$10,15,FALSE),0)</f>
        <v>0</v>
      </c>
      <c r="Q51" s="78">
        <f>IFERROR(VLOOKUP(C51,'Te gebruiken meststoffen'!$R$3:$AG$10,16,FALSE),0)</f>
        <v>0</v>
      </c>
      <c r="T51" s="149" t="e">
        <f>VLOOKUP(C51,'Te gebruiken meststoffen'!$R$3:$AB$10,11,FALSE)</f>
        <v>#N/A</v>
      </c>
    </row>
    <row r="52" spans="1:38" x14ac:dyDescent="0.3">
      <c r="C52" s="104" t="str">
        <f>IF(NOT('Te gebruiken meststoffen'!R10=0), 'Te gebruiken meststoffen'!R10,"")</f>
        <v/>
      </c>
      <c r="D52" s="86" t="str">
        <f>IFERROR(VLOOKUP(C52,'Te gebruiken meststoffen'!$R$3:$AA$10,2,FALSE),"")</f>
        <v/>
      </c>
      <c r="E52" s="99">
        <f>IFERROR(VLOOKUP(C52,'Te gebruiken meststoffen'!$R$3:$AA$10,3,FALSE),0)</f>
        <v>0</v>
      </c>
      <c r="F52" s="99">
        <f>IFERROR(VLOOKUP(C52,'Te gebruiken meststoffen'!$R$3:$AA$10,4,FALSE),0)</f>
        <v>0</v>
      </c>
      <c r="G52" s="99">
        <f>IFERROR(VLOOKUP(C52,'Te gebruiken meststoffen'!$R$3:$AA$10,5,FALSE),0)</f>
        <v>0</v>
      </c>
      <c r="H52" s="99">
        <f>IFERROR(VLOOKUP(C52,'Te gebruiken meststoffen'!$R$3:$AA$10,6,FALSE),0)</f>
        <v>0</v>
      </c>
      <c r="I52" s="99">
        <f>IFERROR(VLOOKUP(C52,'Te gebruiken meststoffen'!$R$3:$AA$10,7,FALSE),0)</f>
        <v>0</v>
      </c>
      <c r="J52" s="99">
        <f>IFERROR(VLOOKUP(C52,'Te gebruiken meststoffen'!$R$3:$AA$10,8,FALSE),0)</f>
        <v>0</v>
      </c>
      <c r="K52" s="99">
        <f>IFERROR(VLOOKUP(C52,'Te gebruiken meststoffen'!$R$3:$AA$10,9,FALSE),0)</f>
        <v>0</v>
      </c>
      <c r="L52" s="130">
        <f>IFERROR(VLOOKUP(C52,'Te gebruiken meststoffen'!$R$3:$AB$10,10,FALSE),0)</f>
        <v>0</v>
      </c>
      <c r="M52" s="144">
        <f>IFERROR(VLOOKUP(C52,'Te gebruiken meststoffen'!$R$3:$AH$10,17,FALSE),0)</f>
        <v>0</v>
      </c>
      <c r="N52" s="78">
        <f>IFERROR(VLOOKUP(C52,'Te gebruiken meststoffen'!$R$3:$AG$10,13,FALSE),0)</f>
        <v>0</v>
      </c>
      <c r="O52" s="78">
        <f>IFERROR(VLOOKUP(C52,'Te gebruiken meststoffen'!$R$3:$AG$10,14,FALSE),0)</f>
        <v>0</v>
      </c>
      <c r="P52" s="78">
        <f>IFERROR(VLOOKUP(C52,'Te gebruiken meststoffen'!$R$3:$AG$10,15,FALSE),0)</f>
        <v>0</v>
      </c>
      <c r="Q52" s="78">
        <f>IFERROR(VLOOKUP(C52,'Te gebruiken meststoffen'!$R$3:$AG$10,16,FALSE),0)</f>
        <v>0</v>
      </c>
      <c r="T52" s="149" t="e">
        <f>VLOOKUP(C52,'Te gebruiken meststoffen'!$R$3:$AB$10,11,FALSE)</f>
        <v>#N/A</v>
      </c>
    </row>
    <row r="53" spans="1:38" x14ac:dyDescent="0.3">
      <c r="C53" t="str">
        <f>IF(G4=1,_xlfn.CONCAT($G$3," ",G4),"")</f>
        <v/>
      </c>
      <c r="D53" t="str">
        <f>IF(C53="","","kg")</f>
        <v/>
      </c>
      <c r="E53" s="78" t="str">
        <f t="shared" ref="E53:G58" si="12">IF(C53="","",P4)</f>
        <v/>
      </c>
      <c r="F53" s="78" t="str">
        <f t="shared" si="12"/>
        <v/>
      </c>
      <c r="G53" s="78" t="str">
        <f t="shared" si="12"/>
        <v/>
      </c>
      <c r="M53" s="193"/>
      <c r="N53" s="78" t="str">
        <f t="shared" ref="N53:N58" si="13">F53</f>
        <v/>
      </c>
      <c r="T53" s="149" t="str">
        <f>IF(E53="","","DIERLIJKE")</f>
        <v/>
      </c>
    </row>
    <row r="54" spans="1:38" x14ac:dyDescent="0.3">
      <c r="C54" t="str">
        <f>IF(G5=2,_xlfn.CONCAT($G$3," ",G5),"")</f>
        <v/>
      </c>
      <c r="D54" t="str">
        <f t="shared" ref="D54:D58" si="14">IF(C54="","","kg")</f>
        <v/>
      </c>
      <c r="E54" s="78" t="str">
        <f t="shared" si="12"/>
        <v/>
      </c>
      <c r="F54" s="78" t="str">
        <f t="shared" si="12"/>
        <v/>
      </c>
      <c r="G54" s="78" t="str">
        <f t="shared" si="12"/>
        <v/>
      </c>
      <c r="M54" s="194"/>
      <c r="N54" s="78" t="str">
        <f t="shared" si="13"/>
        <v/>
      </c>
      <c r="T54" s="149" t="str">
        <f t="shared" ref="T54:T58" si="15">IF(E54="","","DIERLIJKE")</f>
        <v/>
      </c>
    </row>
    <row r="55" spans="1:38" x14ac:dyDescent="0.3">
      <c r="C55" t="str">
        <f>IF(G6=3,_xlfn.CONCAT($G$3," ",G6),"")</f>
        <v/>
      </c>
      <c r="D55" t="str">
        <f t="shared" si="14"/>
        <v/>
      </c>
      <c r="E55" s="78" t="str">
        <f t="shared" si="12"/>
        <v/>
      </c>
      <c r="F55" s="78" t="str">
        <f t="shared" si="12"/>
        <v/>
      </c>
      <c r="G55" s="78" t="str">
        <f t="shared" si="12"/>
        <v/>
      </c>
      <c r="M55" s="194"/>
      <c r="N55" s="78" t="str">
        <f t="shared" si="13"/>
        <v/>
      </c>
      <c r="T55" s="149" t="str">
        <f t="shared" si="15"/>
        <v/>
      </c>
    </row>
    <row r="56" spans="1:38" x14ac:dyDescent="0.3">
      <c r="C56" t="str">
        <f>IF(G7=4,_xlfn.CONCAT($G$3," ",G7),"")</f>
        <v/>
      </c>
      <c r="D56" t="str">
        <f t="shared" si="14"/>
        <v/>
      </c>
      <c r="E56" s="78" t="str">
        <f t="shared" si="12"/>
        <v/>
      </c>
      <c r="F56" s="78" t="str">
        <f t="shared" si="12"/>
        <v/>
      </c>
      <c r="G56" s="78" t="str">
        <f t="shared" si="12"/>
        <v/>
      </c>
      <c r="M56" s="189"/>
      <c r="N56" s="78" t="str">
        <f t="shared" si="13"/>
        <v/>
      </c>
      <c r="T56" s="149" t="str">
        <f t="shared" si="15"/>
        <v/>
      </c>
    </row>
    <row r="57" spans="1:38" x14ac:dyDescent="0.3">
      <c r="C57" t="str">
        <f>IF(G8=5,_xlfn.CONCAT($G$3," ",G8),"")</f>
        <v/>
      </c>
      <c r="D57" t="str">
        <f t="shared" si="14"/>
        <v/>
      </c>
      <c r="E57" s="78" t="str">
        <f t="shared" si="12"/>
        <v/>
      </c>
      <c r="F57" s="78" t="str">
        <f t="shared" si="12"/>
        <v/>
      </c>
      <c r="G57" s="78" t="str">
        <f t="shared" si="12"/>
        <v/>
      </c>
      <c r="M57" s="189"/>
      <c r="N57" s="78" t="str">
        <f t="shared" si="13"/>
        <v/>
      </c>
      <c r="T57" s="149" t="str">
        <f t="shared" si="15"/>
        <v/>
      </c>
    </row>
    <row r="58" spans="1:38" x14ac:dyDescent="0.3">
      <c r="C58" t="str">
        <f>IF(G9=6,_xlfn.CONCAT($G$3," ",G9),"")</f>
        <v/>
      </c>
      <c r="D58" t="str">
        <f t="shared" si="14"/>
        <v/>
      </c>
      <c r="E58" s="78" t="str">
        <f t="shared" si="12"/>
        <v/>
      </c>
      <c r="F58" s="78" t="str">
        <f t="shared" si="12"/>
        <v/>
      </c>
      <c r="G58" s="78" t="str">
        <f t="shared" si="12"/>
        <v/>
      </c>
      <c r="M58" s="189"/>
      <c r="N58" s="78" t="str">
        <f t="shared" si="13"/>
        <v/>
      </c>
      <c r="T58" s="149" t="str">
        <f t="shared" si="15"/>
        <v/>
      </c>
    </row>
    <row r="59" spans="1:38" ht="18" x14ac:dyDescent="0.35">
      <c r="C59" s="29" t="s">
        <v>463</v>
      </c>
      <c r="T59" s="147"/>
    </row>
    <row r="60" spans="1:38" ht="15" thickBot="1" x14ac:dyDescent="0.35"/>
    <row r="61" spans="1:38" ht="19.8" thickBot="1" x14ac:dyDescent="0.35">
      <c r="C61" s="47" t="s">
        <v>464</v>
      </c>
      <c r="D61" s="56" t="s">
        <v>532</v>
      </c>
      <c r="E61" s="56" t="s">
        <v>467</v>
      </c>
      <c r="F61" s="48" t="s">
        <v>470</v>
      </c>
      <c r="G61" s="48" t="s">
        <v>400</v>
      </c>
      <c r="H61" s="48" t="s">
        <v>414</v>
      </c>
      <c r="I61" s="48" t="s">
        <v>415</v>
      </c>
      <c r="J61" s="48" t="s">
        <v>416</v>
      </c>
      <c r="K61" s="48" t="s">
        <v>417</v>
      </c>
      <c r="L61" s="48" t="s">
        <v>418</v>
      </c>
      <c r="M61" s="57" t="s">
        <v>419</v>
      </c>
      <c r="N61" s="82" t="s">
        <v>510</v>
      </c>
      <c r="O61" s="48" t="s">
        <v>494</v>
      </c>
      <c r="P61" s="48" t="s">
        <v>491</v>
      </c>
      <c r="Q61" s="48" t="s">
        <v>492</v>
      </c>
      <c r="R61" s="57" t="s">
        <v>493</v>
      </c>
      <c r="S61" s="81" t="s">
        <v>608</v>
      </c>
      <c r="T61" s="136" t="s">
        <v>613</v>
      </c>
      <c r="U61" s="56"/>
      <c r="V61" s="56" t="s">
        <v>614</v>
      </c>
      <c r="W61" s="80" t="s">
        <v>616</v>
      </c>
      <c r="Y61" s="147" t="str">
        <f>_xlfn.CONCAT("Kostprijs bemesting ",C45," (EUR/ha)")</f>
        <v>Kostprijs bemesting  (EUR/ha)</v>
      </c>
      <c r="Z61" s="147" t="str">
        <f>_xlfn.CONCAT("Kostprijs bemesting ",C46," (EUR/ha)")</f>
        <v>Kostprijs bemesting  (EUR/ha)</v>
      </c>
      <c r="AA61" s="147" t="str">
        <f>_xlfn.CONCAT("Kostprijs bemesting ",C47," (EUR/ha)")</f>
        <v>Kostprijs bemesting  (EUR/ha)</v>
      </c>
      <c r="AB61" s="147" t="str">
        <f>_xlfn.CONCAT("Kostprijs bemesting ",C48," (EUR/ha)")</f>
        <v>Kostprijs bemesting  (EUR/ha)</v>
      </c>
      <c r="AC61" s="147" t="str">
        <f>_xlfn.CONCAT("Kostprijs bemesting ",C49," (EUR/ha)")</f>
        <v>Kostprijs bemesting  (EUR/ha)</v>
      </c>
      <c r="AD61" s="147" t="str">
        <f>_xlfn.CONCAT("Kostprijs bemesting ",C50," (EUR/ha)")</f>
        <v>Kostprijs bemesting  (EUR/ha)</v>
      </c>
      <c r="AE61" s="147" t="str">
        <f>_xlfn.CONCAT("Kostprijs bemesting ",C51," (EUR/ha)")</f>
        <v>Kostprijs bemesting  (EUR/ha)</v>
      </c>
      <c r="AF61" s="147" t="str">
        <f>_xlfn.CONCAT("Kostprijs bemesting ",C52," (EUR/ha)")</f>
        <v>Kostprijs bemesting  (EUR/ha)</v>
      </c>
      <c r="AG61" s="147" t="str">
        <f>_xlfn.CONCAT("Kostprijs bemesting ",C53," (EUR/ha)")</f>
        <v>Kostprijs bemesting  (EUR/ha)</v>
      </c>
      <c r="AH61" s="147" t="str">
        <f>_xlfn.CONCAT("Kostprijs bemesting ",C54," (EUR/ha)")</f>
        <v>Kostprijs bemesting  (EUR/ha)</v>
      </c>
      <c r="AI61" s="147" t="str">
        <f>_xlfn.CONCAT("Kostprijs bemesting ",C55," (EUR/ha)")</f>
        <v>Kostprijs bemesting  (EUR/ha)</v>
      </c>
      <c r="AJ61" s="147" t="str">
        <f>_xlfn.CONCAT("Kostprijs bemesting ",C56," (EUR/ha)")</f>
        <v>Kostprijs bemesting  (EUR/ha)</v>
      </c>
      <c r="AK61" s="147" t="str">
        <f>_xlfn.CONCAT("Kostprijs bemesting ",C57," (EUR/ha)")</f>
        <v>Kostprijs bemesting  (EUR/ha)</v>
      </c>
      <c r="AL61" s="147" t="str">
        <f>_xlfn.CONCAT("Kostprijs bemesting ",C58," (EUR/ha)")</f>
        <v>Kostprijs bemesting  (EUR/ha)</v>
      </c>
    </row>
    <row r="62" spans="1:38" ht="15" thickBot="1" x14ac:dyDescent="0.35">
      <c r="A62" s="128" t="s">
        <v>611</v>
      </c>
      <c r="C62" s="97" t="s">
        <v>465</v>
      </c>
      <c r="M62" s="43"/>
      <c r="T62" s="115"/>
      <c r="U62" s="76"/>
      <c r="V62" s="132"/>
      <c r="W62" s="133"/>
      <c r="Y62" s="147" t="str">
        <f>C45</f>
        <v/>
      </c>
      <c r="Z62" s="147" t="str">
        <f>C46</f>
        <v/>
      </c>
      <c r="AA62" s="147" t="str">
        <f>C47</f>
        <v/>
      </c>
      <c r="AB62" s="147" t="str">
        <f>C48</f>
        <v/>
      </c>
      <c r="AC62" s="147" t="str">
        <f>C49</f>
        <v/>
      </c>
      <c r="AD62" s="147" t="str">
        <f>C50</f>
        <v/>
      </c>
      <c r="AE62" s="147" t="str">
        <f>C51</f>
        <v/>
      </c>
      <c r="AF62" s="147" t="str">
        <f>C52</f>
        <v/>
      </c>
      <c r="AG62" s="147" t="str">
        <f>C53</f>
        <v/>
      </c>
      <c r="AH62" s="147" t="str">
        <f>C54</f>
        <v/>
      </c>
      <c r="AI62" s="147" t="str">
        <f>C55</f>
        <v/>
      </c>
      <c r="AJ62" s="147" t="str">
        <f>C56</f>
        <v/>
      </c>
      <c r="AK62" s="147" t="str">
        <f>C57</f>
        <v/>
      </c>
      <c r="AL62" s="147" t="str">
        <f>C58</f>
        <v/>
      </c>
    </row>
    <row r="63" spans="1:38" x14ac:dyDescent="0.3">
      <c r="A63" s="195"/>
      <c r="C63" s="198"/>
      <c r="D63" s="199"/>
      <c r="E63" s="35" t="str">
        <f>_xlfn.IFNA(VLOOKUP(C63,'Te gebruiken meststoffen'!$R$3:$AC$10,12,FALSE),"")</f>
        <v/>
      </c>
      <c r="F63" s="50">
        <f>D63*(IFERROR(VLOOKUP(C63,$C$45:$Q$58,3,FALSE),0))</f>
        <v>0</v>
      </c>
      <c r="G63" s="50">
        <f>O63</f>
        <v>0</v>
      </c>
      <c r="H63" s="50">
        <f t="shared" ref="H63:H68" si="16">D63*(IFERROR(VLOOKUP(C63,$C$45:$Q$58,5,FALSE),0))</f>
        <v>0</v>
      </c>
      <c r="I63" s="50">
        <f>D63*(IFERROR(VLOOKUP(C63,$C$45:$Q$58,6,FALSE),0))</f>
        <v>0</v>
      </c>
      <c r="J63" s="50">
        <f t="shared" ref="J63:J68" si="17">D63*(IFERROR(VLOOKUP(C63,$C$45:$Q$58,7,FALSE),0))</f>
        <v>0</v>
      </c>
      <c r="K63" s="50">
        <f t="shared" ref="K63:K68" si="18">D63*(IFERROR(VLOOKUP(C63,$C$45:$Q$58,8,FALSE),0))</f>
        <v>0</v>
      </c>
      <c r="L63" s="50">
        <f t="shared" ref="L63:L68" si="19">D63*(IFERROR(VLOOKUP(C63,$C$45:$Q$58,9,FALSE),0))</f>
        <v>0</v>
      </c>
      <c r="M63" s="51">
        <f t="shared" ref="M63:M68" si="20">D63*(IFERROR(VLOOKUP(C63,$C$45:$Q$58,10,FALSE),0))</f>
        <v>0</v>
      </c>
      <c r="N63">
        <f>O63</f>
        <v>0</v>
      </c>
      <c r="O63">
        <f t="shared" ref="O63:O68" si="21">D63*(IFERROR(VLOOKUP(C63,$C$45:$Q$58,12,FALSE),0))</f>
        <v>0</v>
      </c>
      <c r="P63">
        <f t="shared" ref="P63:P68" si="22">D63*(IFERROR(VLOOKUP(C63,$C$45:$Q$58,13,FALSE),0))</f>
        <v>0</v>
      </c>
      <c r="Q63">
        <f t="shared" ref="Q63:Q68" si="23">D63*(IFERROR(VLOOKUP(C63,$C$45:$Q$58,14,FALSE),0))</f>
        <v>0</v>
      </c>
      <c r="R63">
        <f t="shared" ref="R63:R68" si="24">D63*(IFERROR(VLOOKUP(C63,$C$45:$Q$58,15,FALSE),0))</f>
        <v>0</v>
      </c>
      <c r="S63">
        <f t="shared" ref="S63:S68" si="25">IF(F63&gt;0,F63,G63)</f>
        <v>0</v>
      </c>
      <c r="T63" s="34" t="str">
        <f>IF(D63="","",D63*$D$9)</f>
        <v/>
      </c>
      <c r="U63" s="35" t="str">
        <f>IF(D63="","",E63)</f>
        <v/>
      </c>
      <c r="V63" s="35" t="str">
        <f>IF(D63="","",D63*(VLOOKUP(C63,$C$45:$M$58,11,FALSE)))</f>
        <v/>
      </c>
      <c r="W63" s="36" t="str">
        <f>IF(T63="","",T63*(VLOOKUP(C63,$C$45:$M$58,11,FALSE)))</f>
        <v/>
      </c>
      <c r="Y63" s="147" t="str">
        <f>IF(C63=$C$45,V63,"")</f>
        <v/>
      </c>
      <c r="Z63" s="147" t="str">
        <f>IF(C63=$C$46,V63,"")</f>
        <v/>
      </c>
      <c r="AA63" s="147" t="str">
        <f>IF(C63=$C$47,V63,"")</f>
        <v/>
      </c>
      <c r="AB63" s="147" t="str">
        <f>IF(C63=$C$48,V63,"")</f>
        <v/>
      </c>
      <c r="AC63" s="147" t="str">
        <f>IF(C63=$C$49,V63,"")</f>
        <v/>
      </c>
      <c r="AD63" s="147" t="str">
        <f>IF(C63=$C$50,V63,"")</f>
        <v/>
      </c>
      <c r="AE63" s="147" t="str">
        <f>IF(C63=$C$51,V63,"")</f>
        <v/>
      </c>
      <c r="AF63" s="147" t="str">
        <f>IF(C63=$C$52,V63,"")</f>
        <v/>
      </c>
      <c r="AG63" s="147" t="str">
        <f>IF(C63=$C$53,V63,"")</f>
        <v/>
      </c>
      <c r="AH63" s="147" t="str">
        <f>IF(C63=$C$54,V63,"")</f>
        <v/>
      </c>
      <c r="AI63" s="147" t="str">
        <f>IF(C63=$C$55,V63,"")</f>
        <v/>
      </c>
      <c r="AJ63" s="147" t="str">
        <f>IF(C63=$C$56,V63,"")</f>
        <v/>
      </c>
      <c r="AK63" s="147" t="str">
        <f>IF(C63=$C$57,V63,"")</f>
        <v/>
      </c>
      <c r="AL63" s="147" t="str">
        <f>IF(C63=$C$58,V63,"")</f>
        <v/>
      </c>
    </row>
    <row r="64" spans="1:38" x14ac:dyDescent="0.3">
      <c r="A64" s="196"/>
      <c r="C64" s="200"/>
      <c r="D64" s="201"/>
      <c r="E64" t="str">
        <f>_xlfn.IFNA(VLOOKUP(C64,'Te gebruiken meststoffen'!$R$3:$AC$10,12,FALSE),"")</f>
        <v/>
      </c>
      <c r="F64" s="52">
        <f>D64*(IFERROR(VLOOKUP(C64,$C$45:$Q$58,3,FALSE),0))</f>
        <v>0</v>
      </c>
      <c r="G64" s="52">
        <f t="shared" ref="G64:G68" si="26">O64</f>
        <v>0</v>
      </c>
      <c r="H64" s="52">
        <f t="shared" si="16"/>
        <v>0</v>
      </c>
      <c r="I64" s="52">
        <f t="shared" ref="I64:I68" si="27">D64*(IFERROR(VLOOKUP(C64,$C$45:$Q$58,6,FALSE),0))</f>
        <v>0</v>
      </c>
      <c r="J64" s="52">
        <f t="shared" si="17"/>
        <v>0</v>
      </c>
      <c r="K64" s="52">
        <f t="shared" si="18"/>
        <v>0</v>
      </c>
      <c r="L64" s="52">
        <f t="shared" si="19"/>
        <v>0</v>
      </c>
      <c r="M64" s="53">
        <f t="shared" si="20"/>
        <v>0</v>
      </c>
      <c r="N64">
        <f>O64</f>
        <v>0</v>
      </c>
      <c r="O64">
        <f t="shared" si="21"/>
        <v>0</v>
      </c>
      <c r="P64">
        <f t="shared" si="22"/>
        <v>0</v>
      </c>
      <c r="Q64">
        <f t="shared" si="23"/>
        <v>0</v>
      </c>
      <c r="R64">
        <f t="shared" si="24"/>
        <v>0</v>
      </c>
      <c r="S64">
        <f t="shared" si="25"/>
        <v>0</v>
      </c>
      <c r="T64" s="40" t="str">
        <f t="shared" ref="T64:T68" si="28">IF(D64="","",D64*$D$9)</f>
        <v/>
      </c>
      <c r="U64" t="str">
        <f t="shared" ref="U64:U68" si="29">IF(D64="","",E64)</f>
        <v/>
      </c>
      <c r="V64" t="str">
        <f t="shared" ref="V64:V68" si="30">IF(D64="","",D64*(VLOOKUP(C64,$C$45:$M$58,11,FALSE)))</f>
        <v/>
      </c>
      <c r="W64" s="43" t="str">
        <f t="shared" ref="W64:W68" si="31">IF(T64="","",T64*(VLOOKUP(C64,$C$45:$M$58,11,FALSE)))</f>
        <v/>
      </c>
      <c r="Y64" s="147" t="str">
        <f t="shared" ref="Y64:Y108" si="32">IF(C64=$C$45,V64,"")</f>
        <v/>
      </c>
      <c r="Z64" s="147" t="str">
        <f t="shared" ref="Z64:Z108" si="33">IF(C64=$C$46,V64,"")</f>
        <v/>
      </c>
      <c r="AA64" s="147" t="str">
        <f t="shared" ref="AA64:AA108" si="34">IF(C64=$C$47,V64,"")</f>
        <v/>
      </c>
      <c r="AB64" s="147" t="str">
        <f t="shared" ref="AB64:AB108" si="35">IF(C64=$C$48,V64,"")</f>
        <v/>
      </c>
      <c r="AC64" s="147" t="str">
        <f t="shared" ref="AC64:AC108" si="36">IF(C64=$C$49,V64,"")</f>
        <v/>
      </c>
      <c r="AD64" s="147" t="str">
        <f t="shared" ref="AD64:AD108" si="37">IF(C64=$C$50,V64,"")</f>
        <v/>
      </c>
      <c r="AE64" s="147" t="str">
        <f t="shared" ref="AE64:AE108" si="38">IF(C64=$C$51,V64,"")</f>
        <v/>
      </c>
      <c r="AF64" s="147" t="str">
        <f t="shared" ref="AF64:AF108" si="39">IF(C64=$C$52,V64,"")</f>
        <v/>
      </c>
      <c r="AG64" s="147" t="str">
        <f t="shared" ref="AG64:AG108" si="40">IF(C64=$C$53,V64,"")</f>
        <v/>
      </c>
      <c r="AH64" s="147" t="str">
        <f t="shared" ref="AH64:AH108" si="41">IF(C64=$C$54,V64,"")</f>
        <v/>
      </c>
      <c r="AI64" s="147" t="str">
        <f t="shared" ref="AI64:AI108" si="42">IF(C64=$C$55,V64,"")</f>
        <v/>
      </c>
      <c r="AJ64" s="147" t="str">
        <f t="shared" ref="AJ64:AJ108" si="43">IF(C64=$C$56,V64,"")</f>
        <v/>
      </c>
      <c r="AK64" s="147" t="str">
        <f t="shared" ref="AK64:AK108" si="44">IF(C64=$C$57,V64,"")</f>
        <v/>
      </c>
      <c r="AL64" s="147" t="str">
        <f t="shared" ref="AL64:AL108" si="45">IF(C64=$C$58,V64,"")</f>
        <v/>
      </c>
    </row>
    <row r="65" spans="1:38" x14ac:dyDescent="0.3">
      <c r="A65" s="196"/>
      <c r="C65" s="200"/>
      <c r="D65" s="201"/>
      <c r="E65" t="str">
        <f>_xlfn.IFNA(VLOOKUP(C65,'Te gebruiken meststoffen'!$R$3:$AC$10,12,FALSE),"")</f>
        <v/>
      </c>
      <c r="F65" s="52">
        <f t="shared" ref="F65:F68" si="46">D65*(IFERROR(VLOOKUP(C65,$C$45:$Q$58,3,FALSE),0))</f>
        <v>0</v>
      </c>
      <c r="G65" s="52">
        <f t="shared" si="26"/>
        <v>0</v>
      </c>
      <c r="H65" s="52">
        <f t="shared" si="16"/>
        <v>0</v>
      </c>
      <c r="I65" s="52">
        <f t="shared" si="27"/>
        <v>0</v>
      </c>
      <c r="J65" s="52">
        <f t="shared" si="17"/>
        <v>0</v>
      </c>
      <c r="K65" s="52">
        <f t="shared" si="18"/>
        <v>0</v>
      </c>
      <c r="L65" s="52">
        <f t="shared" si="19"/>
        <v>0</v>
      </c>
      <c r="M65" s="53">
        <f t="shared" si="20"/>
        <v>0</v>
      </c>
      <c r="N65">
        <f t="shared" ref="N65:N68" si="47">O65</f>
        <v>0</v>
      </c>
      <c r="O65">
        <f t="shared" si="21"/>
        <v>0</v>
      </c>
      <c r="P65">
        <f t="shared" si="22"/>
        <v>0</v>
      </c>
      <c r="Q65">
        <f t="shared" si="23"/>
        <v>0</v>
      </c>
      <c r="R65">
        <f t="shared" si="24"/>
        <v>0</v>
      </c>
      <c r="S65">
        <f t="shared" si="25"/>
        <v>0</v>
      </c>
      <c r="T65" s="40" t="str">
        <f t="shared" si="28"/>
        <v/>
      </c>
      <c r="U65" t="str">
        <f t="shared" si="29"/>
        <v/>
      </c>
      <c r="V65" t="str">
        <f t="shared" si="30"/>
        <v/>
      </c>
      <c r="W65" s="43" t="str">
        <f t="shared" si="31"/>
        <v/>
      </c>
      <c r="Y65" s="147" t="str">
        <f t="shared" si="32"/>
        <v/>
      </c>
      <c r="Z65" s="147" t="str">
        <f t="shared" si="33"/>
        <v/>
      </c>
      <c r="AA65" s="147" t="str">
        <f t="shared" si="34"/>
        <v/>
      </c>
      <c r="AB65" s="147" t="str">
        <f t="shared" si="35"/>
        <v/>
      </c>
      <c r="AC65" s="147" t="str">
        <f t="shared" si="36"/>
        <v/>
      </c>
      <c r="AD65" s="147" t="str">
        <f t="shared" si="37"/>
        <v/>
      </c>
      <c r="AE65" s="147" t="str">
        <f t="shared" si="38"/>
        <v/>
      </c>
      <c r="AF65" s="147" t="str">
        <f t="shared" si="39"/>
        <v/>
      </c>
      <c r="AG65" s="147" t="str">
        <f t="shared" si="40"/>
        <v/>
      </c>
      <c r="AH65" s="147" t="str">
        <f t="shared" si="41"/>
        <v/>
      </c>
      <c r="AI65" s="147" t="str">
        <f t="shared" si="42"/>
        <v/>
      </c>
      <c r="AJ65" s="147" t="str">
        <f t="shared" si="43"/>
        <v/>
      </c>
      <c r="AK65" s="147" t="str">
        <f t="shared" si="44"/>
        <v/>
      </c>
      <c r="AL65" s="147" t="str">
        <f t="shared" si="45"/>
        <v/>
      </c>
    </row>
    <row r="66" spans="1:38" x14ac:dyDescent="0.3">
      <c r="A66" s="196"/>
      <c r="C66" s="200"/>
      <c r="D66" s="201"/>
      <c r="E66" t="str">
        <f>_xlfn.IFNA(VLOOKUP(C66,'Te gebruiken meststoffen'!$R$3:$AC$10,12,FALSE),"")</f>
        <v/>
      </c>
      <c r="F66" s="52">
        <f t="shared" si="46"/>
        <v>0</v>
      </c>
      <c r="G66" s="52">
        <f t="shared" si="26"/>
        <v>0</v>
      </c>
      <c r="H66" s="52">
        <f t="shared" si="16"/>
        <v>0</v>
      </c>
      <c r="I66" s="52">
        <f t="shared" si="27"/>
        <v>0</v>
      </c>
      <c r="J66" s="52">
        <f t="shared" si="17"/>
        <v>0</v>
      </c>
      <c r="K66" s="52">
        <f t="shared" si="18"/>
        <v>0</v>
      </c>
      <c r="L66" s="52">
        <f t="shared" si="19"/>
        <v>0</v>
      </c>
      <c r="M66" s="53">
        <f t="shared" si="20"/>
        <v>0</v>
      </c>
      <c r="N66">
        <f t="shared" si="47"/>
        <v>0</v>
      </c>
      <c r="O66">
        <f t="shared" si="21"/>
        <v>0</v>
      </c>
      <c r="P66">
        <f t="shared" si="22"/>
        <v>0</v>
      </c>
      <c r="Q66">
        <f t="shared" si="23"/>
        <v>0</v>
      </c>
      <c r="R66">
        <f t="shared" si="24"/>
        <v>0</v>
      </c>
      <c r="S66">
        <f t="shared" si="25"/>
        <v>0</v>
      </c>
      <c r="T66" s="40" t="str">
        <f t="shared" si="28"/>
        <v/>
      </c>
      <c r="U66" t="str">
        <f t="shared" si="29"/>
        <v/>
      </c>
      <c r="V66" t="str">
        <f t="shared" si="30"/>
        <v/>
      </c>
      <c r="W66" s="43" t="str">
        <f t="shared" si="31"/>
        <v/>
      </c>
      <c r="Y66" s="147" t="str">
        <f t="shared" si="32"/>
        <v/>
      </c>
      <c r="Z66" s="147" t="str">
        <f t="shared" si="33"/>
        <v/>
      </c>
      <c r="AA66" s="147" t="str">
        <f t="shared" si="34"/>
        <v/>
      </c>
      <c r="AB66" s="147" t="str">
        <f t="shared" si="35"/>
        <v/>
      </c>
      <c r="AC66" s="147" t="str">
        <f t="shared" si="36"/>
        <v/>
      </c>
      <c r="AD66" s="147" t="str">
        <f t="shared" si="37"/>
        <v/>
      </c>
      <c r="AE66" s="147" t="str">
        <f t="shared" si="38"/>
        <v/>
      </c>
      <c r="AF66" s="147" t="str">
        <f t="shared" si="39"/>
        <v/>
      </c>
      <c r="AG66" s="147" t="str">
        <f t="shared" si="40"/>
        <v/>
      </c>
      <c r="AH66" s="147" t="str">
        <f t="shared" si="41"/>
        <v/>
      </c>
      <c r="AI66" s="147" t="str">
        <f t="shared" si="42"/>
        <v/>
      </c>
      <c r="AJ66" s="147" t="str">
        <f t="shared" si="43"/>
        <v/>
      </c>
      <c r="AK66" s="147" t="str">
        <f t="shared" si="44"/>
        <v/>
      </c>
      <c r="AL66" s="147" t="str">
        <f t="shared" si="45"/>
        <v/>
      </c>
    </row>
    <row r="67" spans="1:38" x14ac:dyDescent="0.3">
      <c r="A67" s="196"/>
      <c r="C67" s="200"/>
      <c r="D67" s="201"/>
      <c r="E67" t="str">
        <f>_xlfn.IFNA(VLOOKUP(C67,'Te gebruiken meststoffen'!$R$3:$AC$10,12,FALSE),"")</f>
        <v/>
      </c>
      <c r="F67" s="52">
        <f t="shared" si="46"/>
        <v>0</v>
      </c>
      <c r="G67" s="52">
        <f t="shared" si="26"/>
        <v>0</v>
      </c>
      <c r="H67" s="52">
        <f t="shared" si="16"/>
        <v>0</v>
      </c>
      <c r="I67" s="52">
        <f t="shared" si="27"/>
        <v>0</v>
      </c>
      <c r="J67" s="52">
        <f t="shared" si="17"/>
        <v>0</v>
      </c>
      <c r="K67" s="52">
        <f t="shared" si="18"/>
        <v>0</v>
      </c>
      <c r="L67" s="52">
        <f t="shared" si="19"/>
        <v>0</v>
      </c>
      <c r="M67" s="53">
        <f t="shared" si="20"/>
        <v>0</v>
      </c>
      <c r="N67">
        <f t="shared" si="47"/>
        <v>0</v>
      </c>
      <c r="O67">
        <f t="shared" si="21"/>
        <v>0</v>
      </c>
      <c r="P67">
        <f t="shared" si="22"/>
        <v>0</v>
      </c>
      <c r="Q67">
        <f t="shared" si="23"/>
        <v>0</v>
      </c>
      <c r="R67">
        <f t="shared" si="24"/>
        <v>0</v>
      </c>
      <c r="S67">
        <f t="shared" si="25"/>
        <v>0</v>
      </c>
      <c r="T67" s="40" t="str">
        <f t="shared" si="28"/>
        <v/>
      </c>
      <c r="U67" t="str">
        <f t="shared" si="29"/>
        <v/>
      </c>
      <c r="V67" t="str">
        <f>IF(D67="","",D67*(VLOOKUP(C67,$C$45:$M$58,11,FALSE)))</f>
        <v/>
      </c>
      <c r="W67" s="43" t="str">
        <f t="shared" si="31"/>
        <v/>
      </c>
      <c r="Y67" s="147" t="str">
        <f t="shared" si="32"/>
        <v/>
      </c>
      <c r="Z67" s="147" t="str">
        <f t="shared" si="33"/>
        <v/>
      </c>
      <c r="AA67" s="147" t="str">
        <f t="shared" si="34"/>
        <v/>
      </c>
      <c r="AB67" s="147" t="str">
        <f t="shared" si="35"/>
        <v/>
      </c>
      <c r="AC67" s="147" t="str">
        <f t="shared" si="36"/>
        <v/>
      </c>
      <c r="AD67" s="147" t="str">
        <f t="shared" si="37"/>
        <v/>
      </c>
      <c r="AE67" s="147" t="str">
        <f t="shared" si="38"/>
        <v/>
      </c>
      <c r="AF67" s="147" t="str">
        <f t="shared" si="39"/>
        <v/>
      </c>
      <c r="AG67" s="147" t="str">
        <f t="shared" si="40"/>
        <v/>
      </c>
      <c r="AH67" s="147" t="str">
        <f t="shared" si="41"/>
        <v/>
      </c>
      <c r="AI67" s="147" t="str">
        <f t="shared" si="42"/>
        <v/>
      </c>
      <c r="AJ67" s="147" t="str">
        <f t="shared" si="43"/>
        <v/>
      </c>
      <c r="AK67" s="147" t="str">
        <f t="shared" si="44"/>
        <v/>
      </c>
      <c r="AL67" s="147" t="str">
        <f t="shared" si="45"/>
        <v/>
      </c>
    </row>
    <row r="68" spans="1:38" ht="15" thickBot="1" x14ac:dyDescent="0.35">
      <c r="A68" s="197"/>
      <c r="C68" s="202"/>
      <c r="D68" s="203"/>
      <c r="E68" s="38" t="str">
        <f>_xlfn.IFNA(VLOOKUP(C68,'Te gebruiken meststoffen'!$R$3:$AC$10,12,FALSE),"")</f>
        <v/>
      </c>
      <c r="F68" s="54">
        <f t="shared" si="46"/>
        <v>0</v>
      </c>
      <c r="G68" s="54">
        <f t="shared" si="26"/>
        <v>0</v>
      </c>
      <c r="H68" s="54">
        <f t="shared" si="16"/>
        <v>0</v>
      </c>
      <c r="I68" s="54">
        <f t="shared" si="27"/>
        <v>0</v>
      </c>
      <c r="J68" s="54">
        <f t="shared" si="17"/>
        <v>0</v>
      </c>
      <c r="K68" s="54">
        <f t="shared" si="18"/>
        <v>0</v>
      </c>
      <c r="L68" s="54">
        <f t="shared" si="19"/>
        <v>0</v>
      </c>
      <c r="M68" s="55">
        <f t="shared" si="20"/>
        <v>0</v>
      </c>
      <c r="N68">
        <f t="shared" si="47"/>
        <v>0</v>
      </c>
      <c r="O68">
        <f t="shared" si="21"/>
        <v>0</v>
      </c>
      <c r="P68">
        <f t="shared" si="22"/>
        <v>0</v>
      </c>
      <c r="Q68">
        <f t="shared" si="23"/>
        <v>0</v>
      </c>
      <c r="R68">
        <f t="shared" si="24"/>
        <v>0</v>
      </c>
      <c r="S68">
        <f t="shared" si="25"/>
        <v>0</v>
      </c>
      <c r="T68" s="37" t="str">
        <f t="shared" si="28"/>
        <v/>
      </c>
      <c r="U68" s="38" t="str">
        <f t="shared" si="29"/>
        <v/>
      </c>
      <c r="V68" s="38" t="str">
        <f t="shared" si="30"/>
        <v/>
      </c>
      <c r="W68" s="39" t="str">
        <f t="shared" si="31"/>
        <v/>
      </c>
      <c r="Y68" s="147" t="str">
        <f t="shared" si="32"/>
        <v/>
      </c>
      <c r="Z68" s="147" t="str">
        <f t="shared" si="33"/>
        <v/>
      </c>
      <c r="AA68" s="147" t="str">
        <f t="shared" si="34"/>
        <v/>
      </c>
      <c r="AB68" s="147" t="str">
        <f t="shared" si="35"/>
        <v/>
      </c>
      <c r="AC68" s="147" t="str">
        <f t="shared" si="36"/>
        <v/>
      </c>
      <c r="AD68" s="147" t="str">
        <f t="shared" si="37"/>
        <v/>
      </c>
      <c r="AE68" s="147" t="str">
        <f t="shared" si="38"/>
        <v/>
      </c>
      <c r="AF68" s="147" t="str">
        <f t="shared" si="39"/>
        <v/>
      </c>
      <c r="AG68" s="147" t="str">
        <f t="shared" si="40"/>
        <v/>
      </c>
      <c r="AH68" s="147" t="str">
        <f t="shared" si="41"/>
        <v/>
      </c>
      <c r="AI68" s="147" t="str">
        <f t="shared" si="42"/>
        <v/>
      </c>
      <c r="AJ68" s="147" t="str">
        <f t="shared" si="43"/>
        <v/>
      </c>
      <c r="AK68" s="147" t="str">
        <f t="shared" si="44"/>
        <v/>
      </c>
      <c r="AL68" s="147" t="str">
        <f t="shared" si="45"/>
        <v/>
      </c>
    </row>
    <row r="69" spans="1:38" ht="15" thickBot="1" x14ac:dyDescent="0.35">
      <c r="C69" s="37"/>
      <c r="D69" s="38"/>
      <c r="E69" s="109" t="s">
        <v>504</v>
      </c>
      <c r="F69" s="110">
        <f t="shared" ref="F69:M69" si="48">SUM(F63:F68)</f>
        <v>0</v>
      </c>
      <c r="G69" s="110">
        <f>SUM(G63:G68)</f>
        <v>0</v>
      </c>
      <c r="H69" s="110">
        <f t="shared" si="48"/>
        <v>0</v>
      </c>
      <c r="I69" s="110">
        <f t="shared" si="48"/>
        <v>0</v>
      </c>
      <c r="J69" s="110">
        <f t="shared" si="48"/>
        <v>0</v>
      </c>
      <c r="K69" s="110">
        <f t="shared" si="48"/>
        <v>0</v>
      </c>
      <c r="L69" s="110">
        <f t="shared" si="48"/>
        <v>0</v>
      </c>
      <c r="M69" s="111">
        <f t="shared" si="48"/>
        <v>0</v>
      </c>
      <c r="N69" s="60">
        <f>SUM(O63:O68)</f>
        <v>0</v>
      </c>
      <c r="S69">
        <f>SUM(S63:S68)</f>
        <v>0</v>
      </c>
      <c r="T69" s="138"/>
      <c r="U69" s="139"/>
      <c r="V69" s="139">
        <f>SUM(V63:V68)</f>
        <v>0</v>
      </c>
      <c r="W69" s="140">
        <f>SUM(W63:W68)</f>
        <v>0</v>
      </c>
      <c r="Y69" s="147"/>
      <c r="Z69" s="147"/>
      <c r="AA69" s="147"/>
      <c r="AB69" s="147"/>
      <c r="AC69" s="147"/>
      <c r="AD69" s="147"/>
      <c r="AE69" s="147"/>
      <c r="AF69" s="147"/>
      <c r="AG69" s="147"/>
      <c r="AH69" s="147"/>
      <c r="AI69" s="147"/>
      <c r="AJ69" s="147"/>
      <c r="AK69" s="147"/>
      <c r="AL69" s="147"/>
    </row>
    <row r="70" spans="1:38" ht="15" thickBot="1" x14ac:dyDescent="0.35">
      <c r="A70" s="128" t="s">
        <v>611</v>
      </c>
      <c r="C70" s="115" t="s">
        <v>499</v>
      </c>
      <c r="D70" s="113" t="s">
        <v>619</v>
      </c>
      <c r="E70" s="76"/>
      <c r="F70" s="76"/>
      <c r="G70" s="146">
        <f>N77-SUM(G71:G76)</f>
        <v>0</v>
      </c>
      <c r="H70" s="76"/>
      <c r="I70" s="76"/>
      <c r="J70" s="76"/>
      <c r="K70" s="76"/>
      <c r="L70" s="76"/>
      <c r="M70" s="77"/>
      <c r="S70">
        <f>SUM(S71:S76)</f>
        <v>0</v>
      </c>
      <c r="T70" s="75"/>
      <c r="U70" s="76"/>
      <c r="V70" s="76"/>
      <c r="W70" s="77"/>
      <c r="Y70" s="147"/>
      <c r="Z70" s="147"/>
      <c r="AA70" s="147"/>
      <c r="AB70" s="147"/>
      <c r="AC70" s="147"/>
      <c r="AD70" s="147"/>
      <c r="AE70" s="147"/>
      <c r="AF70" s="147"/>
      <c r="AG70" s="147"/>
      <c r="AH70" s="147"/>
      <c r="AI70" s="147"/>
      <c r="AJ70" s="147"/>
      <c r="AK70" s="147"/>
      <c r="AL70" s="147"/>
    </row>
    <row r="71" spans="1:38" x14ac:dyDescent="0.3">
      <c r="A71" s="195"/>
      <c r="C71" s="198"/>
      <c r="D71" s="199"/>
      <c r="E71" s="35" t="str">
        <f>_xlfn.IFNA(VLOOKUP(C71,'Te gebruiken meststoffen'!$R$3:$AC$10,12,FALSE),"")</f>
        <v/>
      </c>
      <c r="F71" s="50">
        <f t="shared" ref="F71:F76" si="49">D71*(IFERROR(VLOOKUP(C71,$C$45:$Q$58,3,FALSE),0))</f>
        <v>0</v>
      </c>
      <c r="G71" s="50">
        <f>O71</f>
        <v>0</v>
      </c>
      <c r="H71" s="50">
        <f t="shared" ref="H71:H76" si="50">D71*(IFERROR(VLOOKUP(C71,$C$45:$Q$58,5,FALSE),0))</f>
        <v>0</v>
      </c>
      <c r="I71" s="50">
        <f t="shared" ref="I71:I76" si="51">D71*(IFERROR(VLOOKUP(C71,$C$45:$Q$58,6,FALSE),0))</f>
        <v>0</v>
      </c>
      <c r="J71" s="50">
        <f t="shared" ref="J71:J76" si="52">D71*(IFERROR(VLOOKUP(C71,$C$45:$Q$58,7,FALSE),0))</f>
        <v>0</v>
      </c>
      <c r="K71" s="50">
        <f t="shared" ref="K71:K76" si="53">D71*(IFERROR(VLOOKUP(C71,$C$45:$Q$58,8,FALSE),0))</f>
        <v>0</v>
      </c>
      <c r="L71" s="50">
        <f t="shared" ref="L71:L76" si="54">D71*(IFERROR(VLOOKUP(C71,$C$45:$Q$58,9,FALSE),0))</f>
        <v>0</v>
      </c>
      <c r="M71" s="51">
        <f t="shared" ref="M71:M76" si="55">D71*(IFERROR(VLOOKUP(C71,$C$45:$Q$58,10,FALSE),0))</f>
        <v>0</v>
      </c>
      <c r="N71">
        <f>O71+P63</f>
        <v>0</v>
      </c>
      <c r="O71">
        <f t="shared" ref="O71:O76" si="56">D71*(IFERROR(VLOOKUP(C71,$C$45:$Q$58,12,FALSE),0))</f>
        <v>0</v>
      </c>
      <c r="P71">
        <f t="shared" ref="P71:P76" si="57">D71*(IFERROR(VLOOKUP(C71,$C$45:$Q$58,13,FALSE),0))</f>
        <v>0</v>
      </c>
      <c r="Q71">
        <f t="shared" ref="Q71:Q76" si="58">D71*(IFERROR(VLOOKUP(C71,$C$45:$Q$58,14,FALSE),0))</f>
        <v>0</v>
      </c>
      <c r="R71">
        <f t="shared" ref="R71:R76" si="59">D71*(IFERROR(VLOOKUP(C71,$C$45:$Q$58,15,FALSE),0))</f>
        <v>0</v>
      </c>
      <c r="S71">
        <f t="shared" ref="S71:S76" si="60">IF(F71&gt;0,F71,G71)</f>
        <v>0</v>
      </c>
      <c r="T71" s="34" t="str">
        <f>IF(D71="","",D71*$D$9)</f>
        <v/>
      </c>
      <c r="U71" s="35" t="str">
        <f>IF(D71="","",E71)</f>
        <v/>
      </c>
      <c r="V71" s="35" t="str">
        <f>IF(D71="","",D71*(VLOOKUP(C71,$C$45:$M$58,11,FALSE)))</f>
        <v/>
      </c>
      <c r="W71" s="36" t="str">
        <f>IF(T71="","",T71*(VLOOKUP(C71,$C$45:$M$58,11,FALSE)))</f>
        <v/>
      </c>
      <c r="Y71" s="147" t="str">
        <f t="shared" si="32"/>
        <v/>
      </c>
      <c r="Z71" s="147" t="str">
        <f t="shared" si="33"/>
        <v/>
      </c>
      <c r="AA71" s="147" t="str">
        <f t="shared" si="34"/>
        <v/>
      </c>
      <c r="AB71" s="147" t="str">
        <f t="shared" si="35"/>
        <v/>
      </c>
      <c r="AC71" s="147" t="str">
        <f t="shared" si="36"/>
        <v/>
      </c>
      <c r="AD71" s="147" t="str">
        <f t="shared" si="37"/>
        <v/>
      </c>
      <c r="AE71" s="147" t="str">
        <f t="shared" si="38"/>
        <v/>
      </c>
      <c r="AF71" s="147" t="str">
        <f t="shared" si="39"/>
        <v/>
      </c>
      <c r="AG71" s="147" t="str">
        <f t="shared" si="40"/>
        <v/>
      </c>
      <c r="AH71" s="147" t="str">
        <f t="shared" si="41"/>
        <v/>
      </c>
      <c r="AI71" s="147" t="str">
        <f t="shared" si="42"/>
        <v/>
      </c>
      <c r="AJ71" s="147" t="str">
        <f t="shared" si="43"/>
        <v/>
      </c>
      <c r="AK71" s="147" t="str">
        <f t="shared" si="44"/>
        <v/>
      </c>
      <c r="AL71" s="147" t="str">
        <f t="shared" si="45"/>
        <v/>
      </c>
    </row>
    <row r="72" spans="1:38" x14ac:dyDescent="0.3">
      <c r="A72" s="196"/>
      <c r="C72" s="200"/>
      <c r="D72" s="201"/>
      <c r="E72" t="str">
        <f>_xlfn.IFNA(VLOOKUP(C72,'Te gebruiken meststoffen'!$R$3:$AC$10,12,FALSE),"")</f>
        <v/>
      </c>
      <c r="F72" s="52">
        <f t="shared" si="49"/>
        <v>0</v>
      </c>
      <c r="G72" s="52">
        <f t="shared" ref="G72:G76" si="61">O72</f>
        <v>0</v>
      </c>
      <c r="H72" s="52">
        <f t="shared" si="50"/>
        <v>0</v>
      </c>
      <c r="I72" s="52">
        <f t="shared" si="51"/>
        <v>0</v>
      </c>
      <c r="J72" s="52">
        <f t="shared" si="52"/>
        <v>0</v>
      </c>
      <c r="K72" s="52">
        <f t="shared" si="53"/>
        <v>0</v>
      </c>
      <c r="L72" s="52">
        <f t="shared" si="54"/>
        <v>0</v>
      </c>
      <c r="M72" s="53">
        <f t="shared" si="55"/>
        <v>0</v>
      </c>
      <c r="N72">
        <f t="shared" ref="N72:N76" si="62">O72+P64</f>
        <v>0</v>
      </c>
      <c r="O72">
        <f t="shared" si="56"/>
        <v>0</v>
      </c>
      <c r="P72">
        <f t="shared" si="57"/>
        <v>0</v>
      </c>
      <c r="Q72">
        <f t="shared" si="58"/>
        <v>0</v>
      </c>
      <c r="R72">
        <f t="shared" si="59"/>
        <v>0</v>
      </c>
      <c r="S72">
        <f t="shared" si="60"/>
        <v>0</v>
      </c>
      <c r="T72" s="40" t="str">
        <f t="shared" ref="T72:T76" si="63">IF(D72="","",D72*$D$9)</f>
        <v/>
      </c>
      <c r="U72" t="str">
        <f t="shared" ref="U72:U76" si="64">IF(D72="","",E72)</f>
        <v/>
      </c>
      <c r="V72" t="str">
        <f t="shared" ref="V72:V76" si="65">IF(D72="","",D72*(VLOOKUP(C72,$C$45:$M$58,11,FALSE)))</f>
        <v/>
      </c>
      <c r="W72" s="43" t="str">
        <f t="shared" ref="W72:W76" si="66">IF(T72="","",T72*(VLOOKUP(C72,$C$45:$M$58,11,FALSE)))</f>
        <v/>
      </c>
      <c r="Y72" s="147" t="str">
        <f t="shared" si="32"/>
        <v/>
      </c>
      <c r="Z72" s="147" t="str">
        <f t="shared" si="33"/>
        <v/>
      </c>
      <c r="AA72" s="147" t="str">
        <f t="shared" si="34"/>
        <v/>
      </c>
      <c r="AB72" s="147" t="str">
        <f t="shared" si="35"/>
        <v/>
      </c>
      <c r="AC72" s="147" t="str">
        <f t="shared" si="36"/>
        <v/>
      </c>
      <c r="AD72" s="147" t="str">
        <f t="shared" si="37"/>
        <v/>
      </c>
      <c r="AE72" s="147" t="str">
        <f t="shared" si="38"/>
        <v/>
      </c>
      <c r="AF72" s="147" t="str">
        <f t="shared" si="39"/>
        <v/>
      </c>
      <c r="AG72" s="147" t="str">
        <f t="shared" si="40"/>
        <v/>
      </c>
      <c r="AH72" s="147" t="str">
        <f t="shared" si="41"/>
        <v/>
      </c>
      <c r="AI72" s="147" t="str">
        <f t="shared" si="42"/>
        <v/>
      </c>
      <c r="AJ72" s="147" t="str">
        <f t="shared" si="43"/>
        <v/>
      </c>
      <c r="AK72" s="147" t="str">
        <f t="shared" si="44"/>
        <v/>
      </c>
      <c r="AL72" s="147" t="str">
        <f t="shared" si="45"/>
        <v/>
      </c>
    </row>
    <row r="73" spans="1:38" x14ac:dyDescent="0.3">
      <c r="A73" s="196"/>
      <c r="C73" s="200"/>
      <c r="D73" s="201"/>
      <c r="E73" t="str">
        <f>_xlfn.IFNA(VLOOKUP(C73,'Te gebruiken meststoffen'!$R$3:$AC$10,12,FALSE),"")</f>
        <v/>
      </c>
      <c r="F73" s="52">
        <f t="shared" si="49"/>
        <v>0</v>
      </c>
      <c r="G73" s="52">
        <f t="shared" si="61"/>
        <v>0</v>
      </c>
      <c r="H73" s="52">
        <f t="shared" si="50"/>
        <v>0</v>
      </c>
      <c r="I73" s="52">
        <f t="shared" si="51"/>
        <v>0</v>
      </c>
      <c r="J73" s="52">
        <f t="shared" si="52"/>
        <v>0</v>
      </c>
      <c r="K73" s="52">
        <f t="shared" si="53"/>
        <v>0</v>
      </c>
      <c r="L73" s="52">
        <f t="shared" si="54"/>
        <v>0</v>
      </c>
      <c r="M73" s="53">
        <f t="shared" si="55"/>
        <v>0</v>
      </c>
      <c r="N73">
        <f t="shared" si="62"/>
        <v>0</v>
      </c>
      <c r="O73">
        <f t="shared" si="56"/>
        <v>0</v>
      </c>
      <c r="P73">
        <f t="shared" si="57"/>
        <v>0</v>
      </c>
      <c r="Q73">
        <f t="shared" si="58"/>
        <v>0</v>
      </c>
      <c r="R73">
        <f t="shared" si="59"/>
        <v>0</v>
      </c>
      <c r="S73">
        <f t="shared" si="60"/>
        <v>0</v>
      </c>
      <c r="T73" s="40" t="str">
        <f t="shared" si="63"/>
        <v/>
      </c>
      <c r="U73" t="str">
        <f t="shared" si="64"/>
        <v/>
      </c>
      <c r="V73" t="str">
        <f t="shared" si="65"/>
        <v/>
      </c>
      <c r="W73" s="43" t="str">
        <f t="shared" si="66"/>
        <v/>
      </c>
      <c r="Y73" s="147" t="str">
        <f t="shared" si="32"/>
        <v/>
      </c>
      <c r="Z73" s="147" t="str">
        <f t="shared" si="33"/>
        <v/>
      </c>
      <c r="AA73" s="147" t="str">
        <f t="shared" si="34"/>
        <v/>
      </c>
      <c r="AB73" s="147" t="str">
        <f t="shared" si="35"/>
        <v/>
      </c>
      <c r="AC73" s="147" t="str">
        <f t="shared" si="36"/>
        <v/>
      </c>
      <c r="AD73" s="147" t="str">
        <f t="shared" si="37"/>
        <v/>
      </c>
      <c r="AE73" s="147" t="str">
        <f t="shared" si="38"/>
        <v/>
      </c>
      <c r="AF73" s="147" t="str">
        <f t="shared" si="39"/>
        <v/>
      </c>
      <c r="AG73" s="147" t="str">
        <f t="shared" si="40"/>
        <v/>
      </c>
      <c r="AH73" s="147" t="str">
        <f t="shared" si="41"/>
        <v/>
      </c>
      <c r="AI73" s="147" t="str">
        <f t="shared" si="42"/>
        <v/>
      </c>
      <c r="AJ73" s="147" t="str">
        <f t="shared" si="43"/>
        <v/>
      </c>
      <c r="AK73" s="147" t="str">
        <f t="shared" si="44"/>
        <v/>
      </c>
      <c r="AL73" s="147" t="str">
        <f t="shared" si="45"/>
        <v/>
      </c>
    </row>
    <row r="74" spans="1:38" x14ac:dyDescent="0.3">
      <c r="A74" s="196"/>
      <c r="C74" s="200"/>
      <c r="D74" s="201"/>
      <c r="E74" t="str">
        <f>_xlfn.IFNA(VLOOKUP(C74,'Te gebruiken meststoffen'!$R$3:$AC$10,12,FALSE),"")</f>
        <v/>
      </c>
      <c r="F74" s="52">
        <f t="shared" si="49"/>
        <v>0</v>
      </c>
      <c r="G74" s="52">
        <f t="shared" si="61"/>
        <v>0</v>
      </c>
      <c r="H74" s="52">
        <f t="shared" si="50"/>
        <v>0</v>
      </c>
      <c r="I74" s="52">
        <f t="shared" si="51"/>
        <v>0</v>
      </c>
      <c r="J74" s="52">
        <f t="shared" si="52"/>
        <v>0</v>
      </c>
      <c r="K74" s="52">
        <f t="shared" si="53"/>
        <v>0</v>
      </c>
      <c r="L74" s="52">
        <f t="shared" si="54"/>
        <v>0</v>
      </c>
      <c r="M74" s="53">
        <f t="shared" si="55"/>
        <v>0</v>
      </c>
      <c r="N74">
        <f t="shared" si="62"/>
        <v>0</v>
      </c>
      <c r="O74">
        <f t="shared" si="56"/>
        <v>0</v>
      </c>
      <c r="P74">
        <f t="shared" si="57"/>
        <v>0</v>
      </c>
      <c r="Q74">
        <f t="shared" si="58"/>
        <v>0</v>
      </c>
      <c r="R74">
        <f t="shared" si="59"/>
        <v>0</v>
      </c>
      <c r="S74">
        <f t="shared" si="60"/>
        <v>0</v>
      </c>
      <c r="T74" s="40" t="str">
        <f t="shared" si="63"/>
        <v/>
      </c>
      <c r="U74" t="str">
        <f t="shared" si="64"/>
        <v/>
      </c>
      <c r="V74" t="str">
        <f t="shared" si="65"/>
        <v/>
      </c>
      <c r="W74" s="43" t="str">
        <f t="shared" si="66"/>
        <v/>
      </c>
      <c r="Y74" s="147" t="str">
        <f t="shared" si="32"/>
        <v/>
      </c>
      <c r="Z74" s="147" t="str">
        <f t="shared" si="33"/>
        <v/>
      </c>
      <c r="AA74" s="147" t="str">
        <f t="shared" si="34"/>
        <v/>
      </c>
      <c r="AB74" s="147" t="str">
        <f t="shared" si="35"/>
        <v/>
      </c>
      <c r="AC74" s="147" t="str">
        <f t="shared" si="36"/>
        <v/>
      </c>
      <c r="AD74" s="147" t="str">
        <f t="shared" si="37"/>
        <v/>
      </c>
      <c r="AE74" s="147" t="str">
        <f t="shared" si="38"/>
        <v/>
      </c>
      <c r="AF74" s="147" t="str">
        <f t="shared" si="39"/>
        <v/>
      </c>
      <c r="AG74" s="147" t="str">
        <f t="shared" si="40"/>
        <v/>
      </c>
      <c r="AH74" s="147" t="str">
        <f t="shared" si="41"/>
        <v/>
      </c>
      <c r="AI74" s="147" t="str">
        <f t="shared" si="42"/>
        <v/>
      </c>
      <c r="AJ74" s="147" t="str">
        <f t="shared" si="43"/>
        <v/>
      </c>
      <c r="AK74" s="147" t="str">
        <f t="shared" si="44"/>
        <v/>
      </c>
      <c r="AL74" s="147" t="str">
        <f t="shared" si="45"/>
        <v/>
      </c>
    </row>
    <row r="75" spans="1:38" x14ac:dyDescent="0.3">
      <c r="A75" s="196"/>
      <c r="C75" s="200"/>
      <c r="D75" s="201"/>
      <c r="E75" t="str">
        <f>_xlfn.IFNA(VLOOKUP(C75,'Te gebruiken meststoffen'!$R$3:$AC$10,12,FALSE),"")</f>
        <v/>
      </c>
      <c r="F75" s="52">
        <f t="shared" si="49"/>
        <v>0</v>
      </c>
      <c r="G75" s="52">
        <f t="shared" si="61"/>
        <v>0</v>
      </c>
      <c r="H75" s="52">
        <f t="shared" si="50"/>
        <v>0</v>
      </c>
      <c r="I75" s="52">
        <f t="shared" si="51"/>
        <v>0</v>
      </c>
      <c r="J75" s="52">
        <f t="shared" si="52"/>
        <v>0</v>
      </c>
      <c r="K75" s="52">
        <f t="shared" si="53"/>
        <v>0</v>
      </c>
      <c r="L75" s="52">
        <f t="shared" si="54"/>
        <v>0</v>
      </c>
      <c r="M75" s="53">
        <f t="shared" si="55"/>
        <v>0</v>
      </c>
      <c r="N75">
        <f t="shared" si="62"/>
        <v>0</v>
      </c>
      <c r="O75">
        <f t="shared" si="56"/>
        <v>0</v>
      </c>
      <c r="P75">
        <f t="shared" si="57"/>
        <v>0</v>
      </c>
      <c r="Q75">
        <f t="shared" si="58"/>
        <v>0</v>
      </c>
      <c r="R75">
        <f t="shared" si="59"/>
        <v>0</v>
      </c>
      <c r="S75">
        <f t="shared" si="60"/>
        <v>0</v>
      </c>
      <c r="T75" s="40" t="str">
        <f t="shared" si="63"/>
        <v/>
      </c>
      <c r="U75" t="str">
        <f t="shared" si="64"/>
        <v/>
      </c>
      <c r="V75" t="str">
        <f t="shared" si="65"/>
        <v/>
      </c>
      <c r="W75" s="43" t="str">
        <f t="shared" si="66"/>
        <v/>
      </c>
      <c r="Y75" s="147" t="str">
        <f t="shared" si="32"/>
        <v/>
      </c>
      <c r="Z75" s="147" t="str">
        <f t="shared" si="33"/>
        <v/>
      </c>
      <c r="AA75" s="147" t="str">
        <f t="shared" si="34"/>
        <v/>
      </c>
      <c r="AB75" s="147" t="str">
        <f t="shared" si="35"/>
        <v/>
      </c>
      <c r="AC75" s="147" t="str">
        <f t="shared" si="36"/>
        <v/>
      </c>
      <c r="AD75" s="147" t="str">
        <f t="shared" si="37"/>
        <v/>
      </c>
      <c r="AE75" s="147" t="str">
        <f t="shared" si="38"/>
        <v/>
      </c>
      <c r="AF75" s="147" t="str">
        <f t="shared" si="39"/>
        <v/>
      </c>
      <c r="AG75" s="147" t="str">
        <f t="shared" si="40"/>
        <v/>
      </c>
      <c r="AH75" s="147" t="str">
        <f t="shared" si="41"/>
        <v/>
      </c>
      <c r="AI75" s="147" t="str">
        <f t="shared" si="42"/>
        <v/>
      </c>
      <c r="AJ75" s="147" t="str">
        <f t="shared" si="43"/>
        <v/>
      </c>
      <c r="AK75" s="147" t="str">
        <f t="shared" si="44"/>
        <v/>
      </c>
      <c r="AL75" s="147" t="str">
        <f t="shared" si="45"/>
        <v/>
      </c>
    </row>
    <row r="76" spans="1:38" ht="15" thickBot="1" x14ac:dyDescent="0.35">
      <c r="A76" s="197"/>
      <c r="C76" s="200"/>
      <c r="D76" s="201"/>
      <c r="E76" t="str">
        <f>_xlfn.IFNA(VLOOKUP(C76,'Te gebruiken meststoffen'!$R$3:$AC$10,12,FALSE),"")</f>
        <v/>
      </c>
      <c r="F76" s="52">
        <f t="shared" si="49"/>
        <v>0</v>
      </c>
      <c r="G76" s="52">
        <f t="shared" si="61"/>
        <v>0</v>
      </c>
      <c r="H76" s="52">
        <f t="shared" si="50"/>
        <v>0</v>
      </c>
      <c r="I76" s="52">
        <f t="shared" si="51"/>
        <v>0</v>
      </c>
      <c r="J76" s="52">
        <f t="shared" si="52"/>
        <v>0</v>
      </c>
      <c r="K76" s="52">
        <f t="shared" si="53"/>
        <v>0</v>
      </c>
      <c r="L76" s="52">
        <f t="shared" si="54"/>
        <v>0</v>
      </c>
      <c r="M76" s="53">
        <f t="shared" si="55"/>
        <v>0</v>
      </c>
      <c r="N76">
        <f t="shared" si="62"/>
        <v>0</v>
      </c>
      <c r="O76">
        <f t="shared" si="56"/>
        <v>0</v>
      </c>
      <c r="P76">
        <f t="shared" si="57"/>
        <v>0</v>
      </c>
      <c r="Q76">
        <f t="shared" si="58"/>
        <v>0</v>
      </c>
      <c r="R76">
        <f t="shared" si="59"/>
        <v>0</v>
      </c>
      <c r="S76">
        <f t="shared" si="60"/>
        <v>0</v>
      </c>
      <c r="T76" s="134" t="str">
        <f t="shared" si="63"/>
        <v/>
      </c>
      <c r="U76" s="131" t="str">
        <f t="shared" si="64"/>
        <v/>
      </c>
      <c r="V76" s="131" t="str">
        <f t="shared" si="65"/>
        <v/>
      </c>
      <c r="W76" s="135" t="str">
        <f t="shared" si="66"/>
        <v/>
      </c>
      <c r="Y76" s="147" t="str">
        <f t="shared" si="32"/>
        <v/>
      </c>
      <c r="Z76" s="147" t="str">
        <f t="shared" si="33"/>
        <v/>
      </c>
      <c r="AA76" s="147" t="str">
        <f t="shared" si="34"/>
        <v/>
      </c>
      <c r="AB76" s="147" t="str">
        <f t="shared" si="35"/>
        <v/>
      </c>
      <c r="AC76" s="147" t="str">
        <f t="shared" si="36"/>
        <v/>
      </c>
      <c r="AD76" s="147" t="str">
        <f t="shared" si="37"/>
        <v/>
      </c>
      <c r="AE76" s="147" t="str">
        <f t="shared" si="38"/>
        <v/>
      </c>
      <c r="AF76" s="147" t="str">
        <f t="shared" si="39"/>
        <v/>
      </c>
      <c r="AG76" s="147" t="str">
        <f t="shared" si="40"/>
        <v/>
      </c>
      <c r="AH76" s="147" t="str">
        <f t="shared" si="41"/>
        <v/>
      </c>
      <c r="AI76" s="147" t="str">
        <f t="shared" si="42"/>
        <v/>
      </c>
      <c r="AJ76" s="147" t="str">
        <f t="shared" si="43"/>
        <v/>
      </c>
      <c r="AK76" s="147" t="str">
        <f t="shared" si="44"/>
        <v/>
      </c>
      <c r="AL76" s="147" t="str">
        <f t="shared" si="45"/>
        <v/>
      </c>
    </row>
    <row r="77" spans="1:38" ht="15" thickBot="1" x14ac:dyDescent="0.35">
      <c r="C77" s="75"/>
      <c r="D77" s="76"/>
      <c r="E77" s="56" t="s">
        <v>505</v>
      </c>
      <c r="F77" s="79">
        <f t="shared" ref="F77:M77" si="67">SUM(F71:F76)</f>
        <v>0</v>
      </c>
      <c r="G77" s="79">
        <f>SUM(G70:G76)</f>
        <v>0</v>
      </c>
      <c r="H77" s="79">
        <f t="shared" si="67"/>
        <v>0</v>
      </c>
      <c r="I77" s="79">
        <f t="shared" si="67"/>
        <v>0</v>
      </c>
      <c r="J77" s="79">
        <f t="shared" si="67"/>
        <v>0</v>
      </c>
      <c r="K77" s="79">
        <f t="shared" si="67"/>
        <v>0</v>
      </c>
      <c r="L77" s="79">
        <f t="shared" si="67"/>
        <v>0</v>
      </c>
      <c r="M77" s="112">
        <f t="shared" si="67"/>
        <v>0</v>
      </c>
      <c r="N77" s="60">
        <f>SUM(P63:P68,O71:O76)</f>
        <v>0</v>
      </c>
      <c r="T77" s="138"/>
      <c r="U77" s="139"/>
      <c r="V77" s="139">
        <f>SUM(V71:V76)</f>
        <v>0</v>
      </c>
      <c r="W77" s="140">
        <f>SUM(W71:W76)</f>
        <v>0</v>
      </c>
      <c r="Y77" s="147"/>
      <c r="Z77" s="147"/>
      <c r="AA77" s="147"/>
      <c r="AB77" s="147"/>
      <c r="AC77" s="147"/>
      <c r="AD77" s="147"/>
      <c r="AE77" s="147"/>
      <c r="AF77" s="147"/>
      <c r="AG77" s="147"/>
      <c r="AH77" s="147"/>
      <c r="AI77" s="147"/>
      <c r="AJ77" s="147"/>
      <c r="AK77" s="147"/>
      <c r="AL77" s="147"/>
    </row>
    <row r="78" spans="1:38" ht="15" thickBot="1" x14ac:dyDescent="0.35">
      <c r="A78" s="128" t="s">
        <v>611</v>
      </c>
      <c r="C78" s="128" t="s">
        <v>500</v>
      </c>
      <c r="D78" s="76" t="s">
        <v>620</v>
      </c>
      <c r="E78" s="76"/>
      <c r="F78" s="76"/>
      <c r="G78" s="146">
        <f>N85-SUM(G79:G84)</f>
        <v>0</v>
      </c>
      <c r="H78" s="76"/>
      <c r="I78" s="76"/>
      <c r="J78" s="76"/>
      <c r="K78" s="76"/>
      <c r="L78" s="76"/>
      <c r="M78" s="77"/>
      <c r="S78">
        <f>SUM(S79:S84)</f>
        <v>0</v>
      </c>
      <c r="T78" s="75"/>
      <c r="U78" s="76"/>
      <c r="V78" s="76"/>
      <c r="W78" s="77"/>
      <c r="Y78" s="147"/>
      <c r="Z78" s="147"/>
      <c r="AA78" s="147"/>
      <c r="AB78" s="147"/>
      <c r="AC78" s="147"/>
      <c r="AD78" s="147"/>
      <c r="AE78" s="147"/>
      <c r="AF78" s="147"/>
      <c r="AG78" s="147"/>
      <c r="AH78" s="147"/>
      <c r="AI78" s="147"/>
      <c r="AJ78" s="147"/>
      <c r="AK78" s="147"/>
      <c r="AL78" s="147"/>
    </row>
    <row r="79" spans="1:38" x14ac:dyDescent="0.3">
      <c r="A79" s="195"/>
      <c r="C79" s="198"/>
      <c r="D79" s="199"/>
      <c r="E79" s="35" t="str">
        <f>_xlfn.IFNA(VLOOKUP(C79,'Te gebruiken meststoffen'!$R$3:$AC$10,12,FALSE),"")</f>
        <v/>
      </c>
      <c r="F79" s="50">
        <f t="shared" ref="F79:F84" si="68">D79*(IFERROR(VLOOKUP(C79,$C$45:$Q$58,3,FALSE),0))</f>
        <v>0</v>
      </c>
      <c r="G79" s="50">
        <f>O79</f>
        <v>0</v>
      </c>
      <c r="H79" s="50">
        <f t="shared" ref="H79:H84" si="69">D79*(IFERROR(VLOOKUP(C79,$C$45:$Q$58,5,FALSE),0))</f>
        <v>0</v>
      </c>
      <c r="I79" s="50">
        <f t="shared" ref="I79:I84" si="70">D79*(IFERROR(VLOOKUP(C79,$C$45:$Q$58,6,FALSE),0))</f>
        <v>0</v>
      </c>
      <c r="J79" s="50">
        <f t="shared" ref="J79:J84" si="71">D79*(IFERROR(VLOOKUP(C79,$C$45:$Q$58,7,FALSE),0))</f>
        <v>0</v>
      </c>
      <c r="K79" s="50">
        <f t="shared" ref="K79:K84" si="72">D79*(IFERROR(VLOOKUP(C79,$C$45:$Q$58,8,FALSE),0))</f>
        <v>0</v>
      </c>
      <c r="L79" s="50">
        <f t="shared" ref="L79:L84" si="73">D79*(IFERROR(VLOOKUP(C79,$C$45:$Q$58,9,FALSE),0))</f>
        <v>0</v>
      </c>
      <c r="M79" s="51">
        <f t="shared" ref="M79:M84" si="74">D79*(IFERROR(VLOOKUP(C79,$C$45:$Q$58,10,FALSE),0))</f>
        <v>0</v>
      </c>
      <c r="N79">
        <f t="shared" ref="N79:N84" si="75">O79+P71+Q63</f>
        <v>0</v>
      </c>
      <c r="O79">
        <f t="shared" ref="O79:O84" si="76">D79*(IFERROR(VLOOKUP(C79,$C$45:$Q$58,12,FALSE),0))</f>
        <v>0</v>
      </c>
      <c r="P79">
        <f t="shared" ref="P79:P84" si="77">D79*(IFERROR(VLOOKUP(C79,$C$45:$Q$58,13,FALSE),0))</f>
        <v>0</v>
      </c>
      <c r="Q79">
        <f t="shared" ref="Q79:Q84" si="78">D79*(IFERROR(VLOOKUP(C79,$C$45:$Q$58,14,FALSE),0))</f>
        <v>0</v>
      </c>
      <c r="R79">
        <f t="shared" ref="R79:R84" si="79">D79*(IFERROR(VLOOKUP(C79,$C$45:$Q$58,15,FALSE),0))</f>
        <v>0</v>
      </c>
      <c r="S79">
        <f t="shared" ref="S79:S84" si="80">IF(F79&gt;0,F79,G79)</f>
        <v>0</v>
      </c>
      <c r="T79" s="34" t="str">
        <f>IF(D79="","",D79*$D$9)</f>
        <v/>
      </c>
      <c r="U79" s="35" t="str">
        <f>IF(D79="","",E79)</f>
        <v/>
      </c>
      <c r="V79" s="35" t="str">
        <f>IF(D79="","",D79*(VLOOKUP(C79,$C$45:$M$58,11,FALSE)))</f>
        <v/>
      </c>
      <c r="W79" s="36" t="str">
        <f>IF(T79="","",T79*(VLOOKUP(C79,$C$45:$M$58,11,FALSE)))</f>
        <v/>
      </c>
      <c r="Y79" s="147" t="str">
        <f t="shared" si="32"/>
        <v/>
      </c>
      <c r="Z79" s="147" t="str">
        <f t="shared" si="33"/>
        <v/>
      </c>
      <c r="AA79" s="147" t="str">
        <f t="shared" si="34"/>
        <v/>
      </c>
      <c r="AB79" s="147" t="str">
        <f t="shared" si="35"/>
        <v/>
      </c>
      <c r="AC79" s="147" t="str">
        <f t="shared" si="36"/>
        <v/>
      </c>
      <c r="AD79" s="147" t="str">
        <f t="shared" si="37"/>
        <v/>
      </c>
      <c r="AE79" s="147" t="str">
        <f t="shared" si="38"/>
        <v/>
      </c>
      <c r="AF79" s="147" t="str">
        <f t="shared" si="39"/>
        <v/>
      </c>
      <c r="AG79" s="147" t="str">
        <f t="shared" si="40"/>
        <v/>
      </c>
      <c r="AH79" s="147" t="str">
        <f t="shared" si="41"/>
        <v/>
      </c>
      <c r="AI79" s="147" t="str">
        <f t="shared" si="42"/>
        <v/>
      </c>
      <c r="AJ79" s="147" t="str">
        <f t="shared" si="43"/>
        <v/>
      </c>
      <c r="AK79" s="147" t="str">
        <f t="shared" si="44"/>
        <v/>
      </c>
      <c r="AL79" s="147" t="str">
        <f t="shared" si="45"/>
        <v/>
      </c>
    </row>
    <row r="80" spans="1:38" x14ac:dyDescent="0.3">
      <c r="A80" s="196"/>
      <c r="C80" s="200"/>
      <c r="D80" s="201"/>
      <c r="E80" t="str">
        <f>_xlfn.IFNA(VLOOKUP(C80,'Te gebruiken meststoffen'!$R$3:$AC$10,12,FALSE),"")</f>
        <v/>
      </c>
      <c r="F80" s="52">
        <f t="shared" si="68"/>
        <v>0</v>
      </c>
      <c r="G80" s="52">
        <f t="shared" ref="G80:G84" si="81">O80</f>
        <v>0</v>
      </c>
      <c r="H80" s="52">
        <f t="shared" si="69"/>
        <v>0</v>
      </c>
      <c r="I80" s="52">
        <f t="shared" si="70"/>
        <v>0</v>
      </c>
      <c r="J80" s="52">
        <f t="shared" si="71"/>
        <v>0</v>
      </c>
      <c r="K80" s="52">
        <f t="shared" si="72"/>
        <v>0</v>
      </c>
      <c r="L80" s="52">
        <f t="shared" si="73"/>
        <v>0</v>
      </c>
      <c r="M80" s="53">
        <f t="shared" si="74"/>
        <v>0</v>
      </c>
      <c r="N80">
        <f t="shared" si="75"/>
        <v>0</v>
      </c>
      <c r="O80">
        <f t="shared" si="76"/>
        <v>0</v>
      </c>
      <c r="P80">
        <f t="shared" si="77"/>
        <v>0</v>
      </c>
      <c r="Q80">
        <f t="shared" si="78"/>
        <v>0</v>
      </c>
      <c r="R80">
        <f t="shared" si="79"/>
        <v>0</v>
      </c>
      <c r="S80">
        <f t="shared" si="80"/>
        <v>0</v>
      </c>
      <c r="T80" s="40" t="str">
        <f t="shared" ref="T80:T84" si="82">IF(D80="","",D80*$D$9)</f>
        <v/>
      </c>
      <c r="U80" t="str">
        <f t="shared" ref="U80:U84" si="83">IF(D80="","",E80)</f>
        <v/>
      </c>
      <c r="V80" t="str">
        <f t="shared" ref="V80:V84" si="84">IF(D80="","",D80*(VLOOKUP(C80,$C$45:$M$58,11,FALSE)))</f>
        <v/>
      </c>
      <c r="W80" s="43" t="str">
        <f t="shared" ref="W80:W84" si="85">IF(T80="","",T80*(VLOOKUP(C80,$C$45:$M$58,11,FALSE)))</f>
        <v/>
      </c>
      <c r="Y80" s="147" t="str">
        <f t="shared" si="32"/>
        <v/>
      </c>
      <c r="Z80" s="147" t="str">
        <f t="shared" si="33"/>
        <v/>
      </c>
      <c r="AA80" s="147" t="str">
        <f t="shared" si="34"/>
        <v/>
      </c>
      <c r="AB80" s="147" t="str">
        <f t="shared" si="35"/>
        <v/>
      </c>
      <c r="AC80" s="147" t="str">
        <f t="shared" si="36"/>
        <v/>
      </c>
      <c r="AD80" s="147" t="str">
        <f t="shared" si="37"/>
        <v/>
      </c>
      <c r="AE80" s="147" t="str">
        <f t="shared" si="38"/>
        <v/>
      </c>
      <c r="AF80" s="147" t="str">
        <f t="shared" si="39"/>
        <v/>
      </c>
      <c r="AG80" s="147" t="str">
        <f t="shared" si="40"/>
        <v/>
      </c>
      <c r="AH80" s="147" t="str">
        <f t="shared" si="41"/>
        <v/>
      </c>
      <c r="AI80" s="147" t="str">
        <f t="shared" si="42"/>
        <v/>
      </c>
      <c r="AJ80" s="147" t="str">
        <f t="shared" si="43"/>
        <v/>
      </c>
      <c r="AK80" s="147" t="str">
        <f t="shared" si="44"/>
        <v/>
      </c>
      <c r="AL80" s="147" t="str">
        <f t="shared" si="45"/>
        <v/>
      </c>
    </row>
    <row r="81" spans="1:38" x14ac:dyDescent="0.3">
      <c r="A81" s="196"/>
      <c r="C81" s="200"/>
      <c r="D81" s="201"/>
      <c r="E81" t="str">
        <f>_xlfn.IFNA(VLOOKUP(C81,'Te gebruiken meststoffen'!$R$3:$AC$10,12,FALSE),"")</f>
        <v/>
      </c>
      <c r="F81" s="52">
        <f t="shared" si="68"/>
        <v>0</v>
      </c>
      <c r="G81" s="52">
        <f t="shared" si="81"/>
        <v>0</v>
      </c>
      <c r="H81" s="52">
        <f t="shared" si="69"/>
        <v>0</v>
      </c>
      <c r="I81" s="52">
        <f t="shared" si="70"/>
        <v>0</v>
      </c>
      <c r="J81" s="52">
        <f t="shared" si="71"/>
        <v>0</v>
      </c>
      <c r="K81" s="52">
        <f t="shared" si="72"/>
        <v>0</v>
      </c>
      <c r="L81" s="52">
        <f t="shared" si="73"/>
        <v>0</v>
      </c>
      <c r="M81" s="53">
        <f t="shared" si="74"/>
        <v>0</v>
      </c>
      <c r="N81">
        <f t="shared" si="75"/>
        <v>0</v>
      </c>
      <c r="O81">
        <f t="shared" si="76"/>
        <v>0</v>
      </c>
      <c r="P81">
        <f t="shared" si="77"/>
        <v>0</v>
      </c>
      <c r="Q81">
        <f t="shared" si="78"/>
        <v>0</v>
      </c>
      <c r="R81">
        <f t="shared" si="79"/>
        <v>0</v>
      </c>
      <c r="S81">
        <f t="shared" si="80"/>
        <v>0</v>
      </c>
      <c r="T81" s="40" t="str">
        <f t="shared" si="82"/>
        <v/>
      </c>
      <c r="U81" t="str">
        <f t="shared" si="83"/>
        <v/>
      </c>
      <c r="V81" t="str">
        <f t="shared" si="84"/>
        <v/>
      </c>
      <c r="W81" s="43" t="str">
        <f t="shared" si="85"/>
        <v/>
      </c>
      <c r="Y81" s="147" t="str">
        <f t="shared" si="32"/>
        <v/>
      </c>
      <c r="Z81" s="147" t="str">
        <f t="shared" si="33"/>
        <v/>
      </c>
      <c r="AA81" s="147" t="str">
        <f t="shared" si="34"/>
        <v/>
      </c>
      <c r="AB81" s="147" t="str">
        <f t="shared" si="35"/>
        <v/>
      </c>
      <c r="AC81" s="147" t="str">
        <f t="shared" si="36"/>
        <v/>
      </c>
      <c r="AD81" s="147" t="str">
        <f t="shared" si="37"/>
        <v/>
      </c>
      <c r="AE81" s="147" t="str">
        <f t="shared" si="38"/>
        <v/>
      </c>
      <c r="AF81" s="147" t="str">
        <f t="shared" si="39"/>
        <v/>
      </c>
      <c r="AG81" s="147" t="str">
        <f t="shared" si="40"/>
        <v/>
      </c>
      <c r="AH81" s="147" t="str">
        <f t="shared" si="41"/>
        <v/>
      </c>
      <c r="AI81" s="147" t="str">
        <f t="shared" si="42"/>
        <v/>
      </c>
      <c r="AJ81" s="147" t="str">
        <f t="shared" si="43"/>
        <v/>
      </c>
      <c r="AK81" s="147" t="str">
        <f t="shared" si="44"/>
        <v/>
      </c>
      <c r="AL81" s="147" t="str">
        <f t="shared" si="45"/>
        <v/>
      </c>
    </row>
    <row r="82" spans="1:38" x14ac:dyDescent="0.3">
      <c r="A82" s="196"/>
      <c r="C82" s="200"/>
      <c r="D82" s="201"/>
      <c r="E82" t="str">
        <f>_xlfn.IFNA(VLOOKUP(C82,'Te gebruiken meststoffen'!$R$3:$AC$10,12,FALSE),"")</f>
        <v/>
      </c>
      <c r="F82" s="52">
        <f t="shared" si="68"/>
        <v>0</v>
      </c>
      <c r="G82" s="52">
        <f t="shared" si="81"/>
        <v>0</v>
      </c>
      <c r="H82" s="52">
        <f t="shared" si="69"/>
        <v>0</v>
      </c>
      <c r="I82" s="52">
        <f t="shared" si="70"/>
        <v>0</v>
      </c>
      <c r="J82" s="52">
        <f t="shared" si="71"/>
        <v>0</v>
      </c>
      <c r="K82" s="52">
        <f t="shared" si="72"/>
        <v>0</v>
      </c>
      <c r="L82" s="52">
        <f t="shared" si="73"/>
        <v>0</v>
      </c>
      <c r="M82" s="53">
        <f t="shared" si="74"/>
        <v>0</v>
      </c>
      <c r="N82">
        <f t="shared" si="75"/>
        <v>0</v>
      </c>
      <c r="O82">
        <f t="shared" si="76"/>
        <v>0</v>
      </c>
      <c r="P82">
        <f t="shared" si="77"/>
        <v>0</v>
      </c>
      <c r="Q82">
        <f t="shared" si="78"/>
        <v>0</v>
      </c>
      <c r="R82">
        <f t="shared" si="79"/>
        <v>0</v>
      </c>
      <c r="S82">
        <f t="shared" si="80"/>
        <v>0</v>
      </c>
      <c r="T82" s="40" t="str">
        <f t="shared" si="82"/>
        <v/>
      </c>
      <c r="U82" t="str">
        <f t="shared" si="83"/>
        <v/>
      </c>
      <c r="V82" t="str">
        <f t="shared" si="84"/>
        <v/>
      </c>
      <c r="W82" s="43" t="str">
        <f t="shared" si="85"/>
        <v/>
      </c>
      <c r="Y82" s="147" t="str">
        <f t="shared" si="32"/>
        <v/>
      </c>
      <c r="Z82" s="147" t="str">
        <f t="shared" si="33"/>
        <v/>
      </c>
      <c r="AA82" s="147" t="str">
        <f t="shared" si="34"/>
        <v/>
      </c>
      <c r="AB82" s="147" t="str">
        <f t="shared" si="35"/>
        <v/>
      </c>
      <c r="AC82" s="147" t="str">
        <f t="shared" si="36"/>
        <v/>
      </c>
      <c r="AD82" s="147" t="str">
        <f t="shared" si="37"/>
        <v/>
      </c>
      <c r="AE82" s="147" t="str">
        <f t="shared" si="38"/>
        <v/>
      </c>
      <c r="AF82" s="147" t="str">
        <f t="shared" si="39"/>
        <v/>
      </c>
      <c r="AG82" s="147" t="str">
        <f t="shared" si="40"/>
        <v/>
      </c>
      <c r="AH82" s="147" t="str">
        <f t="shared" si="41"/>
        <v/>
      </c>
      <c r="AI82" s="147" t="str">
        <f t="shared" si="42"/>
        <v/>
      </c>
      <c r="AJ82" s="147" t="str">
        <f t="shared" si="43"/>
        <v/>
      </c>
      <c r="AK82" s="147" t="str">
        <f t="shared" si="44"/>
        <v/>
      </c>
      <c r="AL82" s="147" t="str">
        <f t="shared" si="45"/>
        <v/>
      </c>
    </row>
    <row r="83" spans="1:38" x14ac:dyDescent="0.3">
      <c r="A83" s="196"/>
      <c r="C83" s="200"/>
      <c r="D83" s="201"/>
      <c r="E83" t="str">
        <f>_xlfn.IFNA(VLOOKUP(C83,'Te gebruiken meststoffen'!$R$3:$AC$10,12,FALSE),"")</f>
        <v/>
      </c>
      <c r="F83" s="52">
        <f t="shared" si="68"/>
        <v>0</v>
      </c>
      <c r="G83" s="52">
        <f t="shared" si="81"/>
        <v>0</v>
      </c>
      <c r="H83" s="52">
        <f t="shared" si="69"/>
        <v>0</v>
      </c>
      <c r="I83" s="52">
        <f t="shared" si="70"/>
        <v>0</v>
      </c>
      <c r="J83" s="52">
        <f t="shared" si="71"/>
        <v>0</v>
      </c>
      <c r="K83" s="52">
        <f t="shared" si="72"/>
        <v>0</v>
      </c>
      <c r="L83" s="52">
        <f t="shared" si="73"/>
        <v>0</v>
      </c>
      <c r="M83" s="53">
        <f t="shared" si="74"/>
        <v>0</v>
      </c>
      <c r="N83">
        <f t="shared" si="75"/>
        <v>0</v>
      </c>
      <c r="O83">
        <f t="shared" si="76"/>
        <v>0</v>
      </c>
      <c r="P83">
        <f t="shared" si="77"/>
        <v>0</v>
      </c>
      <c r="Q83">
        <f t="shared" si="78"/>
        <v>0</v>
      </c>
      <c r="R83">
        <f t="shared" si="79"/>
        <v>0</v>
      </c>
      <c r="S83">
        <f t="shared" si="80"/>
        <v>0</v>
      </c>
      <c r="T83" s="40" t="str">
        <f t="shared" si="82"/>
        <v/>
      </c>
      <c r="U83" t="str">
        <f t="shared" si="83"/>
        <v/>
      </c>
      <c r="V83" t="str">
        <f t="shared" si="84"/>
        <v/>
      </c>
      <c r="W83" s="43" t="str">
        <f t="shared" si="85"/>
        <v/>
      </c>
      <c r="Y83" s="147" t="str">
        <f t="shared" si="32"/>
        <v/>
      </c>
      <c r="Z83" s="147" t="str">
        <f t="shared" si="33"/>
        <v/>
      </c>
      <c r="AA83" s="147" t="str">
        <f t="shared" si="34"/>
        <v/>
      </c>
      <c r="AB83" s="147" t="str">
        <f t="shared" si="35"/>
        <v/>
      </c>
      <c r="AC83" s="147" t="str">
        <f t="shared" si="36"/>
        <v/>
      </c>
      <c r="AD83" s="147" t="str">
        <f t="shared" si="37"/>
        <v/>
      </c>
      <c r="AE83" s="147" t="str">
        <f t="shared" si="38"/>
        <v/>
      </c>
      <c r="AF83" s="147" t="str">
        <f t="shared" si="39"/>
        <v/>
      </c>
      <c r="AG83" s="147" t="str">
        <f t="shared" si="40"/>
        <v/>
      </c>
      <c r="AH83" s="147" t="str">
        <f t="shared" si="41"/>
        <v/>
      </c>
      <c r="AI83" s="147" t="str">
        <f t="shared" si="42"/>
        <v/>
      </c>
      <c r="AJ83" s="147" t="str">
        <f t="shared" si="43"/>
        <v/>
      </c>
      <c r="AK83" s="147" t="str">
        <f t="shared" si="44"/>
        <v/>
      </c>
      <c r="AL83" s="147" t="str">
        <f t="shared" si="45"/>
        <v/>
      </c>
    </row>
    <row r="84" spans="1:38" ht="15" thickBot="1" x14ac:dyDescent="0.35">
      <c r="A84" s="197"/>
      <c r="C84" s="200"/>
      <c r="D84" s="201"/>
      <c r="E84" t="str">
        <f>_xlfn.IFNA(VLOOKUP(C84,'Te gebruiken meststoffen'!$R$3:$AC$10,12,FALSE),"")</f>
        <v/>
      </c>
      <c r="F84" s="52">
        <f t="shared" si="68"/>
        <v>0</v>
      </c>
      <c r="G84" s="52">
        <f t="shared" si="81"/>
        <v>0</v>
      </c>
      <c r="H84" s="52">
        <f t="shared" si="69"/>
        <v>0</v>
      </c>
      <c r="I84" s="52">
        <f t="shared" si="70"/>
        <v>0</v>
      </c>
      <c r="J84" s="52">
        <f t="shared" si="71"/>
        <v>0</v>
      </c>
      <c r="K84" s="52">
        <f t="shared" si="72"/>
        <v>0</v>
      </c>
      <c r="L84" s="52">
        <f t="shared" si="73"/>
        <v>0</v>
      </c>
      <c r="M84" s="53">
        <f t="shared" si="74"/>
        <v>0</v>
      </c>
      <c r="N84">
        <f t="shared" si="75"/>
        <v>0</v>
      </c>
      <c r="O84">
        <f t="shared" si="76"/>
        <v>0</v>
      </c>
      <c r="P84">
        <f t="shared" si="77"/>
        <v>0</v>
      </c>
      <c r="Q84">
        <f t="shared" si="78"/>
        <v>0</v>
      </c>
      <c r="R84">
        <f t="shared" si="79"/>
        <v>0</v>
      </c>
      <c r="S84">
        <f t="shared" si="80"/>
        <v>0</v>
      </c>
      <c r="T84" s="134" t="str">
        <f t="shared" si="82"/>
        <v/>
      </c>
      <c r="U84" s="131" t="str">
        <f t="shared" si="83"/>
        <v/>
      </c>
      <c r="V84" s="131" t="str">
        <f t="shared" si="84"/>
        <v/>
      </c>
      <c r="W84" s="135" t="str">
        <f t="shared" si="85"/>
        <v/>
      </c>
      <c r="Y84" s="147" t="str">
        <f t="shared" si="32"/>
        <v/>
      </c>
      <c r="Z84" s="147" t="str">
        <f t="shared" si="33"/>
        <v/>
      </c>
      <c r="AA84" s="147" t="str">
        <f t="shared" si="34"/>
        <v/>
      </c>
      <c r="AB84" s="147" t="str">
        <f t="shared" si="35"/>
        <v/>
      </c>
      <c r="AC84" s="147" t="str">
        <f t="shared" si="36"/>
        <v/>
      </c>
      <c r="AD84" s="147" t="str">
        <f t="shared" si="37"/>
        <v/>
      </c>
      <c r="AE84" s="147" t="str">
        <f t="shared" si="38"/>
        <v/>
      </c>
      <c r="AF84" s="147" t="str">
        <f t="shared" si="39"/>
        <v/>
      </c>
      <c r="AG84" s="147" t="str">
        <f t="shared" si="40"/>
        <v/>
      </c>
      <c r="AH84" s="147" t="str">
        <f t="shared" si="41"/>
        <v/>
      </c>
      <c r="AI84" s="147" t="str">
        <f t="shared" si="42"/>
        <v/>
      </c>
      <c r="AJ84" s="147" t="str">
        <f t="shared" si="43"/>
        <v/>
      </c>
      <c r="AK84" s="147" t="str">
        <f t="shared" si="44"/>
        <v/>
      </c>
      <c r="AL84" s="147" t="str">
        <f t="shared" si="45"/>
        <v/>
      </c>
    </row>
    <row r="85" spans="1:38" ht="15" thickBot="1" x14ac:dyDescent="0.35">
      <c r="C85" s="75"/>
      <c r="D85" s="76"/>
      <c r="E85" s="56" t="s">
        <v>506</v>
      </c>
      <c r="F85" s="79">
        <f t="shared" ref="F85:M85" si="86">SUM(F79:F84)</f>
        <v>0</v>
      </c>
      <c r="G85" s="79">
        <f>SUM(G78:G84)</f>
        <v>0</v>
      </c>
      <c r="H85" s="79">
        <f t="shared" si="86"/>
        <v>0</v>
      </c>
      <c r="I85" s="79">
        <f t="shared" si="86"/>
        <v>0</v>
      </c>
      <c r="J85" s="79">
        <f t="shared" si="86"/>
        <v>0</v>
      </c>
      <c r="K85" s="79">
        <f t="shared" si="86"/>
        <v>0</v>
      </c>
      <c r="L85" s="79">
        <f t="shared" si="86"/>
        <v>0</v>
      </c>
      <c r="M85" s="112">
        <f t="shared" si="86"/>
        <v>0</v>
      </c>
      <c r="N85" s="60">
        <f>SUM(O79:O84,P71:P76,Q63:Q68)</f>
        <v>0</v>
      </c>
      <c r="T85" s="138"/>
      <c r="U85" s="139"/>
      <c r="V85" s="139">
        <f>SUM(V79:V84)</f>
        <v>0</v>
      </c>
      <c r="W85" s="140">
        <f>SUM(W79:W84)</f>
        <v>0</v>
      </c>
      <c r="Y85" s="147"/>
      <c r="Z85" s="147"/>
      <c r="AA85" s="147"/>
      <c r="AB85" s="147"/>
      <c r="AC85" s="147"/>
      <c r="AD85" s="147"/>
      <c r="AE85" s="147"/>
      <c r="AF85" s="147"/>
      <c r="AG85" s="147"/>
      <c r="AH85" s="147"/>
      <c r="AI85" s="147"/>
      <c r="AJ85" s="147"/>
      <c r="AK85" s="147"/>
      <c r="AL85" s="147"/>
    </row>
    <row r="86" spans="1:38" ht="15" thickBot="1" x14ac:dyDescent="0.35">
      <c r="A86" s="128" t="s">
        <v>611</v>
      </c>
      <c r="C86" s="128" t="s">
        <v>501</v>
      </c>
      <c r="D86" s="76" t="s">
        <v>620</v>
      </c>
      <c r="E86" s="76"/>
      <c r="F86" s="76"/>
      <c r="G86" s="146">
        <f>N93-SUM(G87:G92)</f>
        <v>0</v>
      </c>
      <c r="H86" s="76"/>
      <c r="I86" s="76"/>
      <c r="J86" s="76"/>
      <c r="K86" s="76"/>
      <c r="L86" s="76"/>
      <c r="M86" s="77"/>
      <c r="S86">
        <f>SUM(S87:S92)</f>
        <v>0</v>
      </c>
      <c r="T86" s="75"/>
      <c r="U86" s="76"/>
      <c r="V86" s="76"/>
      <c r="W86" s="77"/>
      <c r="Y86" s="147"/>
      <c r="Z86" s="147"/>
      <c r="AA86" s="147"/>
      <c r="AB86" s="147"/>
      <c r="AC86" s="147"/>
      <c r="AD86" s="147"/>
      <c r="AE86" s="147"/>
      <c r="AF86" s="147"/>
      <c r="AG86" s="147"/>
      <c r="AH86" s="147"/>
      <c r="AI86" s="147"/>
      <c r="AJ86" s="147"/>
      <c r="AK86" s="147"/>
      <c r="AL86" s="147"/>
    </row>
    <row r="87" spans="1:38" x14ac:dyDescent="0.3">
      <c r="A87" s="195"/>
      <c r="C87" s="198"/>
      <c r="D87" s="199"/>
      <c r="E87" s="35" t="str">
        <f>_xlfn.IFNA(VLOOKUP(C87,'Te gebruiken meststoffen'!$R$3:$AC$10,12,FALSE),"")</f>
        <v/>
      </c>
      <c r="F87" s="50">
        <f t="shared" ref="F87:F92" si="87">D87*(IFERROR(VLOOKUP(C87,$C$45:$Q$58,3,FALSE),0))</f>
        <v>0</v>
      </c>
      <c r="G87" s="50">
        <f>O87</f>
        <v>0</v>
      </c>
      <c r="H87" s="50">
        <f t="shared" ref="H87:H92" si="88">D87*(IFERROR(VLOOKUP(C87,$C$45:$Q$58,5,FALSE),0))</f>
        <v>0</v>
      </c>
      <c r="I87" s="50">
        <f t="shared" ref="I87:I92" si="89">D87*(IFERROR(VLOOKUP(C87,$C$45:$Q$58,6,FALSE),0))</f>
        <v>0</v>
      </c>
      <c r="J87" s="50">
        <f t="shared" ref="J87:J92" si="90">D87*(IFERROR(VLOOKUP(C87,$C$45:$Q$58,7,FALSE),0))</f>
        <v>0</v>
      </c>
      <c r="K87" s="50">
        <f t="shared" ref="K87:K92" si="91">D87*(IFERROR(VLOOKUP(C87,$C$45:$Q$58,8,FALSE),0))</f>
        <v>0</v>
      </c>
      <c r="L87" s="50">
        <f t="shared" ref="L87:L92" si="92">D87*(IFERROR(VLOOKUP(C87,$C$45:$Q$58,9,FALSE),0))</f>
        <v>0</v>
      </c>
      <c r="M87" s="51">
        <f t="shared" ref="M87:M92" si="93">D87*(IFERROR(VLOOKUP(C87,$C$45:$Q$58,10,FALSE),0))</f>
        <v>0</v>
      </c>
      <c r="N87">
        <f>O87+P79+Q71+R63</f>
        <v>0</v>
      </c>
      <c r="O87">
        <f t="shared" ref="O87:O92" si="94">D87*(IFERROR(VLOOKUP(C87,$C$45:$Q$58,12,FALSE),0))</f>
        <v>0</v>
      </c>
      <c r="P87">
        <f t="shared" ref="P87:P92" si="95">D87*(IFERROR(VLOOKUP(C87,$C$45:$Q$58,13,FALSE),0))</f>
        <v>0</v>
      </c>
      <c r="Q87">
        <f t="shared" ref="Q87:Q92" si="96">D87*(IFERROR(VLOOKUP(C87,$C$45:$Q$58,14,FALSE),0))</f>
        <v>0</v>
      </c>
      <c r="R87" s="150">
        <f t="shared" ref="R87:R92" si="97">D87*(IFERROR(VLOOKUP(C87,$C$45:$Q$58,15,FALSE),0))</f>
        <v>0</v>
      </c>
      <c r="S87">
        <f t="shared" ref="S87:S92" si="98">IF(F87&gt;0,F87,G87)</f>
        <v>0</v>
      </c>
      <c r="T87" s="34" t="str">
        <f>IF(D87="","",D87*$D$9)</f>
        <v/>
      </c>
      <c r="U87" s="35" t="str">
        <f>IF(D87="","",E87)</f>
        <v/>
      </c>
      <c r="V87" s="35" t="str">
        <f>IF(D87="","",D87*(VLOOKUP(C87,$C$45:$M$58,11,FALSE)))</f>
        <v/>
      </c>
      <c r="W87" s="36" t="str">
        <f>IF(T87="","",T87*(VLOOKUP(C87,$C$45:$M$58,11,FALSE)))</f>
        <v/>
      </c>
      <c r="Y87" s="147" t="str">
        <f t="shared" si="32"/>
        <v/>
      </c>
      <c r="Z87" s="147" t="str">
        <f t="shared" si="33"/>
        <v/>
      </c>
      <c r="AA87" s="147" t="str">
        <f t="shared" si="34"/>
        <v/>
      </c>
      <c r="AB87" s="147" t="str">
        <f t="shared" si="35"/>
        <v/>
      </c>
      <c r="AC87" s="147" t="str">
        <f t="shared" si="36"/>
        <v/>
      </c>
      <c r="AD87" s="147" t="str">
        <f t="shared" si="37"/>
        <v/>
      </c>
      <c r="AE87" s="147" t="str">
        <f t="shared" si="38"/>
        <v/>
      </c>
      <c r="AF87" s="147" t="str">
        <f t="shared" si="39"/>
        <v/>
      </c>
      <c r="AG87" s="147" t="str">
        <f t="shared" si="40"/>
        <v/>
      </c>
      <c r="AH87" s="147" t="str">
        <f t="shared" si="41"/>
        <v/>
      </c>
      <c r="AI87" s="147" t="str">
        <f t="shared" si="42"/>
        <v/>
      </c>
      <c r="AJ87" s="147" t="str">
        <f t="shared" si="43"/>
        <v/>
      </c>
      <c r="AK87" s="147" t="str">
        <f t="shared" si="44"/>
        <v/>
      </c>
      <c r="AL87" s="147" t="str">
        <f t="shared" si="45"/>
        <v/>
      </c>
    </row>
    <row r="88" spans="1:38" x14ac:dyDescent="0.3">
      <c r="A88" s="196"/>
      <c r="C88" s="200"/>
      <c r="D88" s="201"/>
      <c r="E88" t="str">
        <f>_xlfn.IFNA(VLOOKUP(C88,'Te gebruiken meststoffen'!$R$3:$AC$10,12,FALSE),"")</f>
        <v/>
      </c>
      <c r="F88" s="52">
        <f t="shared" si="87"/>
        <v>0</v>
      </c>
      <c r="G88" s="52">
        <f t="shared" ref="G88:G92" si="99">O88</f>
        <v>0</v>
      </c>
      <c r="H88" s="52">
        <f t="shared" si="88"/>
        <v>0</v>
      </c>
      <c r="I88" s="52">
        <f t="shared" si="89"/>
        <v>0</v>
      </c>
      <c r="J88" s="52">
        <f t="shared" si="90"/>
        <v>0</v>
      </c>
      <c r="K88" s="52">
        <f t="shared" si="91"/>
        <v>0</v>
      </c>
      <c r="L88" s="52">
        <f t="shared" si="92"/>
        <v>0</v>
      </c>
      <c r="M88" s="53">
        <f t="shared" si="93"/>
        <v>0</v>
      </c>
      <c r="N88">
        <f>O88+P80+Q72+R64</f>
        <v>0</v>
      </c>
      <c r="O88">
        <f t="shared" si="94"/>
        <v>0</v>
      </c>
      <c r="P88">
        <f t="shared" si="95"/>
        <v>0</v>
      </c>
      <c r="Q88">
        <f t="shared" si="96"/>
        <v>0</v>
      </c>
      <c r="R88" s="150">
        <f t="shared" si="97"/>
        <v>0</v>
      </c>
      <c r="S88">
        <f t="shared" si="98"/>
        <v>0</v>
      </c>
      <c r="T88" s="40" t="str">
        <f t="shared" ref="T88:T92" si="100">IF(D88="","",D88*$D$9)</f>
        <v/>
      </c>
      <c r="U88" t="str">
        <f t="shared" ref="U88:U92" si="101">IF(D88="","",E88)</f>
        <v/>
      </c>
      <c r="V88" t="str">
        <f t="shared" ref="V88:V92" si="102">IF(D88="","",D88*(VLOOKUP(C88,$C$45:$M$58,11,FALSE)))</f>
        <v/>
      </c>
      <c r="W88" s="43" t="str">
        <f t="shared" ref="W88:W92" si="103">IF(T88="","",T88*(VLOOKUP(C88,$C$45:$M$58,11,FALSE)))</f>
        <v/>
      </c>
      <c r="Y88" s="147" t="str">
        <f t="shared" si="32"/>
        <v/>
      </c>
      <c r="Z88" s="147" t="str">
        <f t="shared" si="33"/>
        <v/>
      </c>
      <c r="AA88" s="147" t="str">
        <f t="shared" si="34"/>
        <v/>
      </c>
      <c r="AB88" s="147" t="str">
        <f t="shared" si="35"/>
        <v/>
      </c>
      <c r="AC88" s="147" t="str">
        <f t="shared" si="36"/>
        <v/>
      </c>
      <c r="AD88" s="147" t="str">
        <f t="shared" si="37"/>
        <v/>
      </c>
      <c r="AE88" s="147" t="str">
        <f t="shared" si="38"/>
        <v/>
      </c>
      <c r="AF88" s="147" t="str">
        <f t="shared" si="39"/>
        <v/>
      </c>
      <c r="AG88" s="147" t="str">
        <f t="shared" si="40"/>
        <v/>
      </c>
      <c r="AH88" s="147" t="str">
        <f t="shared" si="41"/>
        <v/>
      </c>
      <c r="AI88" s="147" t="str">
        <f t="shared" si="42"/>
        <v/>
      </c>
      <c r="AJ88" s="147" t="str">
        <f t="shared" si="43"/>
        <v/>
      </c>
      <c r="AK88" s="147" t="str">
        <f t="shared" si="44"/>
        <v/>
      </c>
      <c r="AL88" s="147" t="str">
        <f t="shared" si="45"/>
        <v/>
      </c>
    </row>
    <row r="89" spans="1:38" x14ac:dyDescent="0.3">
      <c r="A89" s="196"/>
      <c r="C89" s="200"/>
      <c r="D89" s="201"/>
      <c r="E89" t="str">
        <f>_xlfn.IFNA(VLOOKUP(C89,'Te gebruiken meststoffen'!$R$3:$AC$10,12,FALSE),"")</f>
        <v/>
      </c>
      <c r="F89" s="52">
        <f t="shared" si="87"/>
        <v>0</v>
      </c>
      <c r="G89" s="52">
        <f t="shared" si="99"/>
        <v>0</v>
      </c>
      <c r="H89" s="52">
        <f t="shared" si="88"/>
        <v>0</v>
      </c>
      <c r="I89" s="52">
        <f t="shared" si="89"/>
        <v>0</v>
      </c>
      <c r="J89" s="52">
        <f t="shared" si="90"/>
        <v>0</v>
      </c>
      <c r="K89" s="52">
        <f t="shared" si="91"/>
        <v>0</v>
      </c>
      <c r="L89" s="52">
        <f t="shared" si="92"/>
        <v>0</v>
      </c>
      <c r="M89" s="53">
        <f t="shared" si="93"/>
        <v>0</v>
      </c>
      <c r="N89">
        <f t="shared" ref="N89:N92" si="104">O89+P81+Q73+R65</f>
        <v>0</v>
      </c>
      <c r="O89">
        <f t="shared" si="94"/>
        <v>0</v>
      </c>
      <c r="P89">
        <f t="shared" si="95"/>
        <v>0</v>
      </c>
      <c r="Q89">
        <f t="shared" si="96"/>
        <v>0</v>
      </c>
      <c r="R89" s="150">
        <f t="shared" si="97"/>
        <v>0</v>
      </c>
      <c r="S89">
        <f t="shared" si="98"/>
        <v>0</v>
      </c>
      <c r="T89" s="40" t="str">
        <f t="shared" si="100"/>
        <v/>
      </c>
      <c r="U89" t="str">
        <f t="shared" si="101"/>
        <v/>
      </c>
      <c r="V89" t="str">
        <f t="shared" si="102"/>
        <v/>
      </c>
      <c r="W89" s="43" t="str">
        <f t="shared" si="103"/>
        <v/>
      </c>
      <c r="Y89" s="147" t="str">
        <f t="shared" si="32"/>
        <v/>
      </c>
      <c r="Z89" s="147" t="str">
        <f t="shared" si="33"/>
        <v/>
      </c>
      <c r="AA89" s="147" t="str">
        <f t="shared" si="34"/>
        <v/>
      </c>
      <c r="AB89" s="147" t="str">
        <f t="shared" si="35"/>
        <v/>
      </c>
      <c r="AC89" s="147" t="str">
        <f t="shared" si="36"/>
        <v/>
      </c>
      <c r="AD89" s="147" t="str">
        <f t="shared" si="37"/>
        <v/>
      </c>
      <c r="AE89" s="147" t="str">
        <f t="shared" si="38"/>
        <v/>
      </c>
      <c r="AF89" s="147" t="str">
        <f t="shared" si="39"/>
        <v/>
      </c>
      <c r="AG89" s="147" t="str">
        <f t="shared" si="40"/>
        <v/>
      </c>
      <c r="AH89" s="147" t="str">
        <f t="shared" si="41"/>
        <v/>
      </c>
      <c r="AI89" s="147" t="str">
        <f t="shared" si="42"/>
        <v/>
      </c>
      <c r="AJ89" s="147" t="str">
        <f t="shared" si="43"/>
        <v/>
      </c>
      <c r="AK89" s="147" t="str">
        <f t="shared" si="44"/>
        <v/>
      </c>
      <c r="AL89" s="147" t="str">
        <f t="shared" si="45"/>
        <v/>
      </c>
    </row>
    <row r="90" spans="1:38" x14ac:dyDescent="0.3">
      <c r="A90" s="196"/>
      <c r="C90" s="200"/>
      <c r="D90" s="201"/>
      <c r="E90" t="str">
        <f>_xlfn.IFNA(VLOOKUP(C90,'Te gebruiken meststoffen'!$R$3:$AC$10,12,FALSE),"")</f>
        <v/>
      </c>
      <c r="F90" s="52">
        <f t="shared" si="87"/>
        <v>0</v>
      </c>
      <c r="G90" s="52">
        <f t="shared" si="99"/>
        <v>0</v>
      </c>
      <c r="H90" s="52">
        <f t="shared" si="88"/>
        <v>0</v>
      </c>
      <c r="I90" s="52">
        <f t="shared" si="89"/>
        <v>0</v>
      </c>
      <c r="J90" s="52">
        <f t="shared" si="90"/>
        <v>0</v>
      </c>
      <c r="K90" s="52">
        <f t="shared" si="91"/>
        <v>0</v>
      </c>
      <c r="L90" s="52">
        <f t="shared" si="92"/>
        <v>0</v>
      </c>
      <c r="M90" s="53">
        <f t="shared" si="93"/>
        <v>0</v>
      </c>
      <c r="N90">
        <f t="shared" si="104"/>
        <v>0</v>
      </c>
      <c r="O90">
        <f t="shared" si="94"/>
        <v>0</v>
      </c>
      <c r="P90">
        <f t="shared" si="95"/>
        <v>0</v>
      </c>
      <c r="Q90">
        <f t="shared" si="96"/>
        <v>0</v>
      </c>
      <c r="R90" s="150">
        <f t="shared" si="97"/>
        <v>0</v>
      </c>
      <c r="S90">
        <f t="shared" si="98"/>
        <v>0</v>
      </c>
      <c r="T90" s="40" t="str">
        <f t="shared" si="100"/>
        <v/>
      </c>
      <c r="U90" t="str">
        <f t="shared" si="101"/>
        <v/>
      </c>
      <c r="V90" t="str">
        <f t="shared" si="102"/>
        <v/>
      </c>
      <c r="W90" s="43" t="str">
        <f t="shared" si="103"/>
        <v/>
      </c>
      <c r="Y90" s="147" t="str">
        <f t="shared" si="32"/>
        <v/>
      </c>
      <c r="Z90" s="147" t="str">
        <f t="shared" si="33"/>
        <v/>
      </c>
      <c r="AA90" s="147" t="str">
        <f t="shared" si="34"/>
        <v/>
      </c>
      <c r="AB90" s="147" t="str">
        <f t="shared" si="35"/>
        <v/>
      </c>
      <c r="AC90" s="147" t="str">
        <f t="shared" si="36"/>
        <v/>
      </c>
      <c r="AD90" s="147" t="str">
        <f t="shared" si="37"/>
        <v/>
      </c>
      <c r="AE90" s="147" t="str">
        <f t="shared" si="38"/>
        <v/>
      </c>
      <c r="AF90" s="147" t="str">
        <f t="shared" si="39"/>
        <v/>
      </c>
      <c r="AG90" s="147" t="str">
        <f t="shared" si="40"/>
        <v/>
      </c>
      <c r="AH90" s="147" t="str">
        <f t="shared" si="41"/>
        <v/>
      </c>
      <c r="AI90" s="147" t="str">
        <f t="shared" si="42"/>
        <v/>
      </c>
      <c r="AJ90" s="147" t="str">
        <f t="shared" si="43"/>
        <v/>
      </c>
      <c r="AK90" s="147" t="str">
        <f t="shared" si="44"/>
        <v/>
      </c>
      <c r="AL90" s="147" t="str">
        <f t="shared" si="45"/>
        <v/>
      </c>
    </row>
    <row r="91" spans="1:38" x14ac:dyDescent="0.3">
      <c r="A91" s="196"/>
      <c r="C91" s="200"/>
      <c r="D91" s="201"/>
      <c r="E91" t="str">
        <f>_xlfn.IFNA(VLOOKUP(C91,'Te gebruiken meststoffen'!$R$3:$AC$10,12,FALSE),"")</f>
        <v/>
      </c>
      <c r="F91" s="52">
        <f t="shared" si="87"/>
        <v>0</v>
      </c>
      <c r="G91" s="52">
        <f t="shared" si="99"/>
        <v>0</v>
      </c>
      <c r="H91" s="52">
        <f t="shared" si="88"/>
        <v>0</v>
      </c>
      <c r="I91" s="52">
        <f t="shared" si="89"/>
        <v>0</v>
      </c>
      <c r="J91" s="52">
        <f t="shared" si="90"/>
        <v>0</v>
      </c>
      <c r="K91" s="52">
        <f t="shared" si="91"/>
        <v>0</v>
      </c>
      <c r="L91" s="52">
        <f t="shared" si="92"/>
        <v>0</v>
      </c>
      <c r="M91" s="53">
        <f t="shared" si="93"/>
        <v>0</v>
      </c>
      <c r="N91">
        <f t="shared" si="104"/>
        <v>0</v>
      </c>
      <c r="O91">
        <f t="shared" si="94"/>
        <v>0</v>
      </c>
      <c r="P91">
        <f t="shared" si="95"/>
        <v>0</v>
      </c>
      <c r="Q91">
        <f t="shared" si="96"/>
        <v>0</v>
      </c>
      <c r="R91" s="150">
        <f t="shared" si="97"/>
        <v>0</v>
      </c>
      <c r="S91">
        <f t="shared" si="98"/>
        <v>0</v>
      </c>
      <c r="T91" s="40" t="str">
        <f t="shared" si="100"/>
        <v/>
      </c>
      <c r="U91" t="str">
        <f t="shared" si="101"/>
        <v/>
      </c>
      <c r="V91" t="str">
        <f t="shared" si="102"/>
        <v/>
      </c>
      <c r="W91" s="43" t="str">
        <f t="shared" si="103"/>
        <v/>
      </c>
      <c r="Y91" s="147" t="str">
        <f t="shared" si="32"/>
        <v/>
      </c>
      <c r="Z91" s="147" t="str">
        <f t="shared" si="33"/>
        <v/>
      </c>
      <c r="AA91" s="147" t="str">
        <f t="shared" si="34"/>
        <v/>
      </c>
      <c r="AB91" s="147" t="str">
        <f t="shared" si="35"/>
        <v/>
      </c>
      <c r="AC91" s="147" t="str">
        <f t="shared" si="36"/>
        <v/>
      </c>
      <c r="AD91" s="147" t="str">
        <f t="shared" si="37"/>
        <v/>
      </c>
      <c r="AE91" s="147" t="str">
        <f t="shared" si="38"/>
        <v/>
      </c>
      <c r="AF91" s="147" t="str">
        <f t="shared" si="39"/>
        <v/>
      </c>
      <c r="AG91" s="147" t="str">
        <f t="shared" si="40"/>
        <v/>
      </c>
      <c r="AH91" s="147" t="str">
        <f t="shared" si="41"/>
        <v/>
      </c>
      <c r="AI91" s="147" t="str">
        <f t="shared" si="42"/>
        <v/>
      </c>
      <c r="AJ91" s="147" t="str">
        <f t="shared" si="43"/>
        <v/>
      </c>
      <c r="AK91" s="147" t="str">
        <f t="shared" si="44"/>
        <v/>
      </c>
      <c r="AL91" s="147" t="str">
        <f t="shared" si="45"/>
        <v/>
      </c>
    </row>
    <row r="92" spans="1:38" ht="15" thickBot="1" x14ac:dyDescent="0.35">
      <c r="A92" s="197"/>
      <c r="C92" s="200"/>
      <c r="D92" s="201"/>
      <c r="E92" t="str">
        <f>_xlfn.IFNA(VLOOKUP(C92,'Te gebruiken meststoffen'!$R$3:$AC$10,12,FALSE),"")</f>
        <v/>
      </c>
      <c r="F92" s="52">
        <f t="shared" si="87"/>
        <v>0</v>
      </c>
      <c r="G92" s="52">
        <f t="shared" si="99"/>
        <v>0</v>
      </c>
      <c r="H92" s="52">
        <f t="shared" si="88"/>
        <v>0</v>
      </c>
      <c r="I92" s="52">
        <f t="shared" si="89"/>
        <v>0</v>
      </c>
      <c r="J92" s="52">
        <f t="shared" si="90"/>
        <v>0</v>
      </c>
      <c r="K92" s="52">
        <f t="shared" si="91"/>
        <v>0</v>
      </c>
      <c r="L92" s="52">
        <f t="shared" si="92"/>
        <v>0</v>
      </c>
      <c r="M92" s="53">
        <f t="shared" si="93"/>
        <v>0</v>
      </c>
      <c r="N92">
        <f t="shared" si="104"/>
        <v>0</v>
      </c>
      <c r="O92">
        <f t="shared" si="94"/>
        <v>0</v>
      </c>
      <c r="P92">
        <f t="shared" si="95"/>
        <v>0</v>
      </c>
      <c r="Q92">
        <f t="shared" si="96"/>
        <v>0</v>
      </c>
      <c r="R92" s="150">
        <f t="shared" si="97"/>
        <v>0</v>
      </c>
      <c r="S92">
        <f t="shared" si="98"/>
        <v>0</v>
      </c>
      <c r="T92" s="134" t="str">
        <f t="shared" si="100"/>
        <v/>
      </c>
      <c r="U92" s="131" t="str">
        <f t="shared" si="101"/>
        <v/>
      </c>
      <c r="V92" s="131" t="str">
        <f t="shared" si="102"/>
        <v/>
      </c>
      <c r="W92" s="135" t="str">
        <f t="shared" si="103"/>
        <v/>
      </c>
      <c r="Y92" s="147" t="str">
        <f t="shared" si="32"/>
        <v/>
      </c>
      <c r="Z92" s="147" t="str">
        <f t="shared" si="33"/>
        <v/>
      </c>
      <c r="AA92" s="147" t="str">
        <f t="shared" si="34"/>
        <v/>
      </c>
      <c r="AB92" s="147" t="str">
        <f t="shared" si="35"/>
        <v/>
      </c>
      <c r="AC92" s="147" t="str">
        <f t="shared" si="36"/>
        <v/>
      </c>
      <c r="AD92" s="147" t="str">
        <f t="shared" si="37"/>
        <v/>
      </c>
      <c r="AE92" s="147" t="str">
        <f t="shared" si="38"/>
        <v/>
      </c>
      <c r="AF92" s="147" t="str">
        <f t="shared" si="39"/>
        <v/>
      </c>
      <c r="AG92" s="147" t="str">
        <f t="shared" si="40"/>
        <v/>
      </c>
      <c r="AH92" s="147" t="str">
        <f t="shared" si="41"/>
        <v/>
      </c>
      <c r="AI92" s="147" t="str">
        <f t="shared" si="42"/>
        <v/>
      </c>
      <c r="AJ92" s="147" t="str">
        <f t="shared" si="43"/>
        <v/>
      </c>
      <c r="AK92" s="147" t="str">
        <f t="shared" si="44"/>
        <v/>
      </c>
      <c r="AL92" s="147" t="str">
        <f t="shared" si="45"/>
        <v/>
      </c>
    </row>
    <row r="93" spans="1:38" ht="15" thickBot="1" x14ac:dyDescent="0.35">
      <c r="C93" s="75"/>
      <c r="D93" s="76"/>
      <c r="E93" s="56" t="s">
        <v>507</v>
      </c>
      <c r="F93" s="79">
        <f t="shared" ref="F93:M93" si="105">SUM(F87:F92)</f>
        <v>0</v>
      </c>
      <c r="G93" s="79">
        <f>SUM(G86:G92)</f>
        <v>0</v>
      </c>
      <c r="H93" s="79">
        <f t="shared" si="105"/>
        <v>0</v>
      </c>
      <c r="I93" s="79">
        <f t="shared" si="105"/>
        <v>0</v>
      </c>
      <c r="J93" s="79">
        <f t="shared" si="105"/>
        <v>0</v>
      </c>
      <c r="K93" s="79">
        <f t="shared" si="105"/>
        <v>0</v>
      </c>
      <c r="L93" s="79">
        <f t="shared" si="105"/>
        <v>0</v>
      </c>
      <c r="M93" s="112">
        <f t="shared" si="105"/>
        <v>0</v>
      </c>
      <c r="N93" s="60">
        <f>SUM(O87:O92,P79:P84,Q71:Q76,R63:R68)</f>
        <v>0</v>
      </c>
      <c r="T93" s="138"/>
      <c r="U93" s="139"/>
      <c r="V93" s="139">
        <f>SUM(V87:V92)</f>
        <v>0</v>
      </c>
      <c r="W93" s="140">
        <f>SUM(W87:W92)</f>
        <v>0</v>
      </c>
      <c r="Y93" s="147"/>
      <c r="Z93" s="147"/>
      <c r="AA93" s="147"/>
      <c r="AB93" s="147"/>
      <c r="AC93" s="147"/>
      <c r="AD93" s="147"/>
      <c r="AE93" s="147"/>
      <c r="AF93" s="147"/>
      <c r="AG93" s="147"/>
      <c r="AH93" s="147"/>
      <c r="AI93" s="147"/>
      <c r="AJ93" s="147"/>
      <c r="AK93" s="147"/>
      <c r="AL93" s="147"/>
    </row>
    <row r="94" spans="1:38" ht="15" thickBot="1" x14ac:dyDescent="0.35">
      <c r="A94" s="128" t="s">
        <v>611</v>
      </c>
      <c r="C94" s="128" t="s">
        <v>502</v>
      </c>
      <c r="D94" s="76" t="s">
        <v>620</v>
      </c>
      <c r="E94" s="76"/>
      <c r="F94" s="76"/>
      <c r="G94" s="146">
        <f>N101-SUM(G95:G100)</f>
        <v>0</v>
      </c>
      <c r="H94" s="76"/>
      <c r="I94" s="76"/>
      <c r="J94" s="76"/>
      <c r="K94" s="76"/>
      <c r="L94" s="76"/>
      <c r="M94" s="77"/>
      <c r="S94">
        <f>SUM(S95:S100)</f>
        <v>0</v>
      </c>
      <c r="T94" s="75"/>
      <c r="U94" s="76"/>
      <c r="V94" s="76"/>
      <c r="W94" s="77"/>
      <c r="Y94" s="147"/>
      <c r="Z94" s="147"/>
      <c r="AA94" s="147"/>
      <c r="AB94" s="147"/>
      <c r="AC94" s="147"/>
      <c r="AD94" s="147"/>
      <c r="AE94" s="147"/>
      <c r="AF94" s="147"/>
      <c r="AG94" s="147"/>
      <c r="AH94" s="147"/>
      <c r="AI94" s="147"/>
      <c r="AJ94" s="147"/>
      <c r="AK94" s="147"/>
      <c r="AL94" s="147"/>
    </row>
    <row r="95" spans="1:38" x14ac:dyDescent="0.3">
      <c r="A95" s="195"/>
      <c r="C95" s="198"/>
      <c r="D95" s="199"/>
      <c r="E95" s="35" t="str">
        <f>_xlfn.IFNA(VLOOKUP(C95,'Te gebruiken meststoffen'!$R$3:$AC$10,12,FALSE),"")</f>
        <v/>
      </c>
      <c r="F95" s="50">
        <f t="shared" ref="F95:F100" si="106">D95*(IFERROR(VLOOKUP(C95,$C$45:$Q$58,3,FALSE),0))</f>
        <v>0</v>
      </c>
      <c r="G95" s="50">
        <f>O95</f>
        <v>0</v>
      </c>
      <c r="H95" s="50">
        <f t="shared" ref="H95:H100" si="107">D95*(IFERROR(VLOOKUP(C95,$C$45:$Q$58,5,FALSE),0))</f>
        <v>0</v>
      </c>
      <c r="I95" s="50">
        <f t="shared" ref="I95:I100" si="108">D95*(IFERROR(VLOOKUP(C95,$C$45:$Q$58,6,FALSE),0))</f>
        <v>0</v>
      </c>
      <c r="J95" s="50">
        <f t="shared" ref="J95:J100" si="109">D95*(IFERROR(VLOOKUP(C95,$C$45:$Q$58,7,FALSE),0))</f>
        <v>0</v>
      </c>
      <c r="K95" s="50">
        <f t="shared" ref="K95:K100" si="110">D95*(IFERROR(VLOOKUP(C95,$C$45:$Q$58,8,FALSE),0))</f>
        <v>0</v>
      </c>
      <c r="L95" s="50">
        <f t="shared" ref="L95:L100" si="111">D95*(IFERROR(VLOOKUP(C95,$C$45:$Q$58,9,FALSE),0))</f>
        <v>0</v>
      </c>
      <c r="M95" s="51">
        <f t="shared" ref="M95:M100" si="112">D95*(IFERROR(VLOOKUP(C95,$C$45:$Q$58,10,FALSE),0))</f>
        <v>0</v>
      </c>
      <c r="N95">
        <f t="shared" ref="N95:N100" si="113">O95+P87+Q79+R71</f>
        <v>0</v>
      </c>
      <c r="O95">
        <f t="shared" ref="O95:O100" si="114">D95*(IFERROR(VLOOKUP(C95,$C$45:$Q$58,12,FALSE),0))</f>
        <v>0</v>
      </c>
      <c r="P95">
        <f t="shared" ref="P95:P100" si="115">D95*(IFERROR(VLOOKUP(C95,$C$45:$Q$58,13,FALSE),0))</f>
        <v>0</v>
      </c>
      <c r="Q95" s="150">
        <f t="shared" ref="Q95:Q100" si="116">D95*(IFERROR(VLOOKUP(C95,$C$45:$Q$58,14,FALSE),0))</f>
        <v>0</v>
      </c>
      <c r="R95" s="150">
        <f t="shared" ref="R95:R100" si="117">D95*(IFERROR(VLOOKUP(C95,$C$45:$Q$58,15,FALSE),0))</f>
        <v>0</v>
      </c>
      <c r="S95">
        <f t="shared" ref="S95:S100" si="118">IF(F95&gt;0,F95,G95)</f>
        <v>0</v>
      </c>
      <c r="T95" s="34" t="str">
        <f>IF(D95="","",D95*$D$9)</f>
        <v/>
      </c>
      <c r="U95" s="35" t="str">
        <f>IF(D95="","",E95)</f>
        <v/>
      </c>
      <c r="V95" s="35" t="str">
        <f>IF(D95="","",D95*(VLOOKUP(C95,$C$45:$M$58,11,FALSE)))</f>
        <v/>
      </c>
      <c r="W95" s="36" t="str">
        <f>IF(T95="","",T95*(VLOOKUP(C95,$C$45:$M$58,11,FALSE)))</f>
        <v/>
      </c>
      <c r="Y95" s="147" t="str">
        <f t="shared" si="32"/>
        <v/>
      </c>
      <c r="Z95" s="147" t="str">
        <f t="shared" si="33"/>
        <v/>
      </c>
      <c r="AA95" s="147" t="str">
        <f t="shared" si="34"/>
        <v/>
      </c>
      <c r="AB95" s="147" t="str">
        <f t="shared" si="35"/>
        <v/>
      </c>
      <c r="AC95" s="147" t="str">
        <f t="shared" si="36"/>
        <v/>
      </c>
      <c r="AD95" s="147" t="str">
        <f t="shared" si="37"/>
        <v/>
      </c>
      <c r="AE95" s="147" t="str">
        <f t="shared" si="38"/>
        <v/>
      </c>
      <c r="AF95" s="147" t="str">
        <f t="shared" si="39"/>
        <v/>
      </c>
      <c r="AG95" s="147" t="str">
        <f t="shared" si="40"/>
        <v/>
      </c>
      <c r="AH95" s="147" t="str">
        <f t="shared" si="41"/>
        <v/>
      </c>
      <c r="AI95" s="147" t="str">
        <f t="shared" si="42"/>
        <v/>
      </c>
      <c r="AJ95" s="147" t="str">
        <f t="shared" si="43"/>
        <v/>
      </c>
      <c r="AK95" s="147" t="str">
        <f t="shared" si="44"/>
        <v/>
      </c>
      <c r="AL95" s="147" t="str">
        <f t="shared" si="45"/>
        <v/>
      </c>
    </row>
    <row r="96" spans="1:38" x14ac:dyDescent="0.3">
      <c r="A96" s="196"/>
      <c r="C96" s="200"/>
      <c r="D96" s="201"/>
      <c r="E96" t="str">
        <f>_xlfn.IFNA(VLOOKUP(C96,'Te gebruiken meststoffen'!$R$3:$AC$10,12,FALSE),"")</f>
        <v/>
      </c>
      <c r="F96" s="52">
        <f t="shared" si="106"/>
        <v>0</v>
      </c>
      <c r="G96" s="52">
        <f t="shared" ref="G96:G100" si="119">O96</f>
        <v>0</v>
      </c>
      <c r="H96" s="52">
        <f t="shared" si="107"/>
        <v>0</v>
      </c>
      <c r="I96" s="52">
        <f t="shared" si="108"/>
        <v>0</v>
      </c>
      <c r="J96" s="52">
        <f t="shared" si="109"/>
        <v>0</v>
      </c>
      <c r="K96" s="52">
        <f t="shared" si="110"/>
        <v>0</v>
      </c>
      <c r="L96" s="52">
        <f t="shared" si="111"/>
        <v>0</v>
      </c>
      <c r="M96" s="53">
        <f t="shared" si="112"/>
        <v>0</v>
      </c>
      <c r="N96">
        <f>O96+P88+Q80+R72</f>
        <v>0</v>
      </c>
      <c r="O96">
        <f t="shared" si="114"/>
        <v>0</v>
      </c>
      <c r="P96">
        <f t="shared" si="115"/>
        <v>0</v>
      </c>
      <c r="Q96" s="150">
        <f t="shared" si="116"/>
        <v>0</v>
      </c>
      <c r="R96" s="150">
        <f t="shared" si="117"/>
        <v>0</v>
      </c>
      <c r="S96">
        <f t="shared" si="118"/>
        <v>0</v>
      </c>
      <c r="T96" s="40" t="str">
        <f t="shared" ref="T96:T100" si="120">IF(D96="","",D96*$D$9)</f>
        <v/>
      </c>
      <c r="U96" t="str">
        <f t="shared" ref="U96:U100" si="121">IF(D96="","",E96)</f>
        <v/>
      </c>
      <c r="V96" t="str">
        <f t="shared" ref="V96:V100" si="122">IF(D96="","",D96*(VLOOKUP(C96,$C$45:$M$58,11,FALSE)))</f>
        <v/>
      </c>
      <c r="W96" s="43" t="str">
        <f t="shared" ref="W96:W100" si="123">IF(T96="","",T96*(VLOOKUP(C96,$C$45:$M$58,11,FALSE)))</f>
        <v/>
      </c>
      <c r="Y96" s="147" t="str">
        <f t="shared" si="32"/>
        <v/>
      </c>
      <c r="Z96" s="147" t="str">
        <f t="shared" si="33"/>
        <v/>
      </c>
      <c r="AA96" s="147" t="str">
        <f t="shared" si="34"/>
        <v/>
      </c>
      <c r="AB96" s="147" t="str">
        <f t="shared" si="35"/>
        <v/>
      </c>
      <c r="AC96" s="147" t="str">
        <f t="shared" si="36"/>
        <v/>
      </c>
      <c r="AD96" s="147" t="str">
        <f t="shared" si="37"/>
        <v/>
      </c>
      <c r="AE96" s="147" t="str">
        <f t="shared" si="38"/>
        <v/>
      </c>
      <c r="AF96" s="147" t="str">
        <f t="shared" si="39"/>
        <v/>
      </c>
      <c r="AG96" s="147" t="str">
        <f t="shared" si="40"/>
        <v/>
      </c>
      <c r="AH96" s="147" t="str">
        <f t="shared" si="41"/>
        <v/>
      </c>
      <c r="AI96" s="147" t="str">
        <f t="shared" si="42"/>
        <v/>
      </c>
      <c r="AJ96" s="147" t="str">
        <f t="shared" si="43"/>
        <v/>
      </c>
      <c r="AK96" s="147" t="str">
        <f t="shared" si="44"/>
        <v/>
      </c>
      <c r="AL96" s="147" t="str">
        <f t="shared" si="45"/>
        <v/>
      </c>
    </row>
    <row r="97" spans="1:38" x14ac:dyDescent="0.3">
      <c r="A97" s="196"/>
      <c r="C97" s="200"/>
      <c r="D97" s="201"/>
      <c r="E97" t="str">
        <f>_xlfn.IFNA(VLOOKUP(C97,'Te gebruiken meststoffen'!$R$3:$AC$10,12,FALSE),"")</f>
        <v/>
      </c>
      <c r="F97" s="52">
        <f t="shared" si="106"/>
        <v>0</v>
      </c>
      <c r="G97" s="52">
        <f t="shared" si="119"/>
        <v>0</v>
      </c>
      <c r="H97" s="52">
        <f t="shared" si="107"/>
        <v>0</v>
      </c>
      <c r="I97" s="52">
        <f t="shared" si="108"/>
        <v>0</v>
      </c>
      <c r="J97" s="52">
        <f t="shared" si="109"/>
        <v>0</v>
      </c>
      <c r="K97" s="52">
        <f t="shared" si="110"/>
        <v>0</v>
      </c>
      <c r="L97" s="52">
        <f t="shared" si="111"/>
        <v>0</v>
      </c>
      <c r="M97" s="53">
        <f t="shared" si="112"/>
        <v>0</v>
      </c>
      <c r="N97">
        <f t="shared" si="113"/>
        <v>0</v>
      </c>
      <c r="O97">
        <f t="shared" si="114"/>
        <v>0</v>
      </c>
      <c r="P97">
        <f t="shared" si="115"/>
        <v>0</v>
      </c>
      <c r="Q97" s="150">
        <f t="shared" si="116"/>
        <v>0</v>
      </c>
      <c r="R97" s="150">
        <f t="shared" si="117"/>
        <v>0</v>
      </c>
      <c r="S97">
        <f t="shared" si="118"/>
        <v>0</v>
      </c>
      <c r="T97" s="40" t="str">
        <f t="shared" si="120"/>
        <v/>
      </c>
      <c r="U97" t="str">
        <f t="shared" si="121"/>
        <v/>
      </c>
      <c r="V97" t="str">
        <f t="shared" si="122"/>
        <v/>
      </c>
      <c r="W97" s="43" t="str">
        <f t="shared" si="123"/>
        <v/>
      </c>
      <c r="Y97" s="147" t="str">
        <f t="shared" si="32"/>
        <v/>
      </c>
      <c r="Z97" s="147" t="str">
        <f t="shared" si="33"/>
        <v/>
      </c>
      <c r="AA97" s="147" t="str">
        <f t="shared" si="34"/>
        <v/>
      </c>
      <c r="AB97" s="147" t="str">
        <f t="shared" si="35"/>
        <v/>
      </c>
      <c r="AC97" s="147" t="str">
        <f t="shared" si="36"/>
        <v/>
      </c>
      <c r="AD97" s="147" t="str">
        <f t="shared" si="37"/>
        <v/>
      </c>
      <c r="AE97" s="147" t="str">
        <f t="shared" si="38"/>
        <v/>
      </c>
      <c r="AF97" s="147" t="str">
        <f t="shared" si="39"/>
        <v/>
      </c>
      <c r="AG97" s="147" t="str">
        <f t="shared" si="40"/>
        <v/>
      </c>
      <c r="AH97" s="147" t="str">
        <f t="shared" si="41"/>
        <v/>
      </c>
      <c r="AI97" s="147" t="str">
        <f t="shared" si="42"/>
        <v/>
      </c>
      <c r="AJ97" s="147" t="str">
        <f t="shared" si="43"/>
        <v/>
      </c>
      <c r="AK97" s="147" t="str">
        <f t="shared" si="44"/>
        <v/>
      </c>
      <c r="AL97" s="147" t="str">
        <f t="shared" si="45"/>
        <v/>
      </c>
    </row>
    <row r="98" spans="1:38" x14ac:dyDescent="0.3">
      <c r="A98" s="196"/>
      <c r="C98" s="200"/>
      <c r="D98" s="201"/>
      <c r="E98" t="str">
        <f>_xlfn.IFNA(VLOOKUP(C98,'Te gebruiken meststoffen'!$R$3:$AC$10,12,FALSE),"")</f>
        <v/>
      </c>
      <c r="F98" s="52">
        <f t="shared" si="106"/>
        <v>0</v>
      </c>
      <c r="G98" s="52">
        <f t="shared" si="119"/>
        <v>0</v>
      </c>
      <c r="H98" s="52">
        <f t="shared" si="107"/>
        <v>0</v>
      </c>
      <c r="I98" s="52">
        <f t="shared" si="108"/>
        <v>0</v>
      </c>
      <c r="J98" s="52">
        <f t="shared" si="109"/>
        <v>0</v>
      </c>
      <c r="K98" s="52">
        <f t="shared" si="110"/>
        <v>0</v>
      </c>
      <c r="L98" s="52">
        <f t="shared" si="111"/>
        <v>0</v>
      </c>
      <c r="M98" s="53">
        <f t="shared" si="112"/>
        <v>0</v>
      </c>
      <c r="N98">
        <f t="shared" si="113"/>
        <v>0</v>
      </c>
      <c r="O98">
        <f t="shared" si="114"/>
        <v>0</v>
      </c>
      <c r="P98">
        <f t="shared" si="115"/>
        <v>0</v>
      </c>
      <c r="Q98" s="150">
        <f t="shared" si="116"/>
        <v>0</v>
      </c>
      <c r="R98" s="150">
        <f t="shared" si="117"/>
        <v>0</v>
      </c>
      <c r="S98">
        <f t="shared" si="118"/>
        <v>0</v>
      </c>
      <c r="T98" s="40" t="str">
        <f t="shared" si="120"/>
        <v/>
      </c>
      <c r="U98" t="str">
        <f t="shared" si="121"/>
        <v/>
      </c>
      <c r="V98" t="str">
        <f t="shared" si="122"/>
        <v/>
      </c>
      <c r="W98" s="43" t="str">
        <f t="shared" si="123"/>
        <v/>
      </c>
      <c r="Y98" s="147" t="str">
        <f t="shared" si="32"/>
        <v/>
      </c>
      <c r="Z98" s="147" t="str">
        <f t="shared" si="33"/>
        <v/>
      </c>
      <c r="AA98" s="147" t="str">
        <f t="shared" si="34"/>
        <v/>
      </c>
      <c r="AB98" s="147" t="str">
        <f t="shared" si="35"/>
        <v/>
      </c>
      <c r="AC98" s="147" t="str">
        <f t="shared" si="36"/>
        <v/>
      </c>
      <c r="AD98" s="147" t="str">
        <f t="shared" si="37"/>
        <v/>
      </c>
      <c r="AE98" s="147" t="str">
        <f t="shared" si="38"/>
        <v/>
      </c>
      <c r="AF98" s="147" t="str">
        <f t="shared" si="39"/>
        <v/>
      </c>
      <c r="AG98" s="147" t="str">
        <f t="shared" si="40"/>
        <v/>
      </c>
      <c r="AH98" s="147" t="str">
        <f t="shared" si="41"/>
        <v/>
      </c>
      <c r="AI98" s="147" t="str">
        <f t="shared" si="42"/>
        <v/>
      </c>
      <c r="AJ98" s="147" t="str">
        <f t="shared" si="43"/>
        <v/>
      </c>
      <c r="AK98" s="147" t="str">
        <f t="shared" si="44"/>
        <v/>
      </c>
      <c r="AL98" s="147" t="str">
        <f t="shared" si="45"/>
        <v/>
      </c>
    </row>
    <row r="99" spans="1:38" x14ac:dyDescent="0.3">
      <c r="A99" s="196"/>
      <c r="C99" s="200"/>
      <c r="D99" s="201"/>
      <c r="E99" t="str">
        <f>_xlfn.IFNA(VLOOKUP(C99,'Te gebruiken meststoffen'!$R$3:$AC$10,12,FALSE),"")</f>
        <v/>
      </c>
      <c r="F99" s="52">
        <f t="shared" si="106"/>
        <v>0</v>
      </c>
      <c r="G99" s="52">
        <f t="shared" si="119"/>
        <v>0</v>
      </c>
      <c r="H99" s="52">
        <f t="shared" si="107"/>
        <v>0</v>
      </c>
      <c r="I99" s="52">
        <f t="shared" si="108"/>
        <v>0</v>
      </c>
      <c r="J99" s="52">
        <f t="shared" si="109"/>
        <v>0</v>
      </c>
      <c r="K99" s="52">
        <f t="shared" si="110"/>
        <v>0</v>
      </c>
      <c r="L99" s="52">
        <f t="shared" si="111"/>
        <v>0</v>
      </c>
      <c r="M99" s="53">
        <f t="shared" si="112"/>
        <v>0</v>
      </c>
      <c r="N99">
        <f t="shared" si="113"/>
        <v>0</v>
      </c>
      <c r="O99">
        <f t="shared" si="114"/>
        <v>0</v>
      </c>
      <c r="P99">
        <f t="shared" si="115"/>
        <v>0</v>
      </c>
      <c r="Q99" s="150">
        <f t="shared" si="116"/>
        <v>0</v>
      </c>
      <c r="R99" s="150">
        <f t="shared" si="117"/>
        <v>0</v>
      </c>
      <c r="S99">
        <f t="shared" si="118"/>
        <v>0</v>
      </c>
      <c r="T99" s="40" t="str">
        <f t="shared" si="120"/>
        <v/>
      </c>
      <c r="U99" t="str">
        <f t="shared" si="121"/>
        <v/>
      </c>
      <c r="V99" t="str">
        <f t="shared" si="122"/>
        <v/>
      </c>
      <c r="W99" s="43" t="str">
        <f t="shared" si="123"/>
        <v/>
      </c>
      <c r="Y99" s="147" t="str">
        <f t="shared" si="32"/>
        <v/>
      </c>
      <c r="Z99" s="147" t="str">
        <f t="shared" si="33"/>
        <v/>
      </c>
      <c r="AA99" s="147" t="str">
        <f t="shared" si="34"/>
        <v/>
      </c>
      <c r="AB99" s="147" t="str">
        <f t="shared" si="35"/>
        <v/>
      </c>
      <c r="AC99" s="147" t="str">
        <f t="shared" si="36"/>
        <v/>
      </c>
      <c r="AD99" s="147" t="str">
        <f t="shared" si="37"/>
        <v/>
      </c>
      <c r="AE99" s="147" t="str">
        <f t="shared" si="38"/>
        <v/>
      </c>
      <c r="AF99" s="147" t="str">
        <f t="shared" si="39"/>
        <v/>
      </c>
      <c r="AG99" s="147" t="str">
        <f t="shared" si="40"/>
        <v/>
      </c>
      <c r="AH99" s="147" t="str">
        <f t="shared" si="41"/>
        <v/>
      </c>
      <c r="AI99" s="147" t="str">
        <f t="shared" si="42"/>
        <v/>
      </c>
      <c r="AJ99" s="147" t="str">
        <f t="shared" si="43"/>
        <v/>
      </c>
      <c r="AK99" s="147" t="str">
        <f t="shared" si="44"/>
        <v/>
      </c>
      <c r="AL99" s="147" t="str">
        <f t="shared" si="45"/>
        <v/>
      </c>
    </row>
    <row r="100" spans="1:38" ht="15" thickBot="1" x14ac:dyDescent="0.35">
      <c r="A100" s="197"/>
      <c r="C100" s="200"/>
      <c r="D100" s="201"/>
      <c r="E100" t="str">
        <f>_xlfn.IFNA(VLOOKUP(C100,'Te gebruiken meststoffen'!$R$3:$AC$10,12,FALSE),"")</f>
        <v/>
      </c>
      <c r="F100" s="52">
        <f t="shared" si="106"/>
        <v>0</v>
      </c>
      <c r="G100" s="52">
        <f t="shared" si="119"/>
        <v>0</v>
      </c>
      <c r="H100" s="52">
        <f t="shared" si="107"/>
        <v>0</v>
      </c>
      <c r="I100" s="52">
        <f t="shared" si="108"/>
        <v>0</v>
      </c>
      <c r="J100" s="52">
        <f t="shared" si="109"/>
        <v>0</v>
      </c>
      <c r="K100" s="52">
        <f t="shared" si="110"/>
        <v>0</v>
      </c>
      <c r="L100" s="52">
        <f t="shared" si="111"/>
        <v>0</v>
      </c>
      <c r="M100" s="53">
        <f t="shared" si="112"/>
        <v>0</v>
      </c>
      <c r="N100">
        <f t="shared" si="113"/>
        <v>0</v>
      </c>
      <c r="O100">
        <f t="shared" si="114"/>
        <v>0</v>
      </c>
      <c r="P100">
        <f t="shared" si="115"/>
        <v>0</v>
      </c>
      <c r="Q100" s="150">
        <f t="shared" si="116"/>
        <v>0</v>
      </c>
      <c r="R100" s="150">
        <f t="shared" si="117"/>
        <v>0</v>
      </c>
      <c r="S100">
        <f t="shared" si="118"/>
        <v>0</v>
      </c>
      <c r="T100" s="134" t="str">
        <f t="shared" si="120"/>
        <v/>
      </c>
      <c r="U100" s="131" t="str">
        <f t="shared" si="121"/>
        <v/>
      </c>
      <c r="V100" s="131" t="str">
        <f t="shared" si="122"/>
        <v/>
      </c>
      <c r="W100" s="135" t="str">
        <f t="shared" si="123"/>
        <v/>
      </c>
      <c r="Y100" s="147" t="str">
        <f t="shared" si="32"/>
        <v/>
      </c>
      <c r="Z100" s="147" t="str">
        <f t="shared" si="33"/>
        <v/>
      </c>
      <c r="AA100" s="147" t="str">
        <f t="shared" si="34"/>
        <v/>
      </c>
      <c r="AB100" s="147" t="str">
        <f t="shared" si="35"/>
        <v/>
      </c>
      <c r="AC100" s="147" t="str">
        <f t="shared" si="36"/>
        <v/>
      </c>
      <c r="AD100" s="147" t="str">
        <f t="shared" si="37"/>
        <v/>
      </c>
      <c r="AE100" s="147" t="str">
        <f t="shared" si="38"/>
        <v/>
      </c>
      <c r="AF100" s="147" t="str">
        <f t="shared" si="39"/>
        <v/>
      </c>
      <c r="AG100" s="147" t="str">
        <f t="shared" si="40"/>
        <v/>
      </c>
      <c r="AH100" s="147" t="str">
        <f t="shared" si="41"/>
        <v/>
      </c>
      <c r="AI100" s="147" t="str">
        <f t="shared" si="42"/>
        <v/>
      </c>
      <c r="AJ100" s="147" t="str">
        <f t="shared" si="43"/>
        <v/>
      </c>
      <c r="AK100" s="147" t="str">
        <f t="shared" si="44"/>
        <v/>
      </c>
      <c r="AL100" s="147" t="str">
        <f t="shared" si="45"/>
        <v/>
      </c>
    </row>
    <row r="101" spans="1:38" ht="15" thickBot="1" x14ac:dyDescent="0.35">
      <c r="C101" s="75"/>
      <c r="D101" s="76"/>
      <c r="E101" s="56" t="s">
        <v>508</v>
      </c>
      <c r="F101" s="79">
        <f t="shared" ref="F101:M101" si="124">SUM(F95:F100)</f>
        <v>0</v>
      </c>
      <c r="G101" s="79">
        <f>SUM(G94:G100)</f>
        <v>0</v>
      </c>
      <c r="H101" s="79">
        <f t="shared" si="124"/>
        <v>0</v>
      </c>
      <c r="I101" s="79">
        <f t="shared" si="124"/>
        <v>0</v>
      </c>
      <c r="J101" s="79">
        <f t="shared" si="124"/>
        <v>0</v>
      </c>
      <c r="K101" s="79">
        <f t="shared" si="124"/>
        <v>0</v>
      </c>
      <c r="L101" s="79">
        <f t="shared" si="124"/>
        <v>0</v>
      </c>
      <c r="M101" s="112">
        <f t="shared" si="124"/>
        <v>0</v>
      </c>
      <c r="N101" s="60">
        <f>SUM(O95:O100,P87:P92,Q79:Q84,R71:R76)</f>
        <v>0</v>
      </c>
      <c r="T101" s="138"/>
      <c r="U101" s="139"/>
      <c r="V101" s="139">
        <f>SUM(V95:V100)</f>
        <v>0</v>
      </c>
      <c r="W101" s="140">
        <f>SUM(W95:W100)</f>
        <v>0</v>
      </c>
      <c r="Y101" s="147"/>
      <c r="Z101" s="147"/>
      <c r="AA101" s="147"/>
      <c r="AB101" s="147"/>
      <c r="AC101" s="147"/>
      <c r="AD101" s="147"/>
      <c r="AE101" s="147"/>
      <c r="AF101" s="147"/>
      <c r="AG101" s="147"/>
      <c r="AH101" s="147"/>
      <c r="AI101" s="147"/>
      <c r="AJ101" s="147"/>
      <c r="AK101" s="147"/>
      <c r="AL101" s="147"/>
    </row>
    <row r="102" spans="1:38" ht="15" thickBot="1" x14ac:dyDescent="0.35">
      <c r="A102" s="128" t="s">
        <v>611</v>
      </c>
      <c r="C102" s="128" t="s">
        <v>503</v>
      </c>
      <c r="D102" s="76" t="s">
        <v>620</v>
      </c>
      <c r="E102" s="76"/>
      <c r="F102" s="76"/>
      <c r="G102" s="114">
        <f>N109-SUM(G103:G108)</f>
        <v>0</v>
      </c>
      <c r="H102" s="76"/>
      <c r="I102" s="76"/>
      <c r="J102" s="76"/>
      <c r="K102" s="76"/>
      <c r="L102" s="76"/>
      <c r="M102" s="77"/>
      <c r="S102">
        <f>SUM(S103:S108)</f>
        <v>0</v>
      </c>
      <c r="T102" s="75"/>
      <c r="U102" s="76"/>
      <c r="V102" s="76"/>
      <c r="W102" s="77"/>
      <c r="Y102" s="147"/>
      <c r="Z102" s="147"/>
      <c r="AA102" s="147"/>
      <c r="AB102" s="147"/>
      <c r="AC102" s="147"/>
      <c r="AD102" s="147"/>
      <c r="AE102" s="147"/>
      <c r="AF102" s="147"/>
      <c r="AG102" s="147"/>
      <c r="AH102" s="147"/>
      <c r="AI102" s="147"/>
      <c r="AJ102" s="147"/>
      <c r="AK102" s="147"/>
      <c r="AL102" s="147"/>
    </row>
    <row r="103" spans="1:38" x14ac:dyDescent="0.3">
      <c r="A103" s="195"/>
      <c r="C103" s="198"/>
      <c r="D103" s="199"/>
      <c r="E103" s="35" t="str">
        <f>_xlfn.IFNA(VLOOKUP(C103,'Te gebruiken meststoffen'!$R$3:$AC$10,12,FALSE),"")</f>
        <v/>
      </c>
      <c r="F103" s="50">
        <f t="shared" ref="F103:F108" si="125">D103*(IFERROR(VLOOKUP(C103,$C$45:$Q$58,3,FALSE),0))</f>
        <v>0</v>
      </c>
      <c r="G103" s="50">
        <f>O103</f>
        <v>0</v>
      </c>
      <c r="H103" s="50">
        <f t="shared" ref="H103:H108" si="126">D103*(IFERROR(VLOOKUP(C103,$C$45:$Q$58,5,FALSE),0))</f>
        <v>0</v>
      </c>
      <c r="I103" s="50">
        <f t="shared" ref="I103:I108" si="127">D103*(IFERROR(VLOOKUP(C103,$C$45:$Q$58,6,FALSE),0))</f>
        <v>0</v>
      </c>
      <c r="J103" s="50">
        <f t="shared" ref="J103:J108" si="128">D103*(IFERROR(VLOOKUP(C103,$C$45:$Q$58,7,FALSE),0))</f>
        <v>0</v>
      </c>
      <c r="K103" s="50">
        <f t="shared" ref="K103:K108" si="129">D103*(IFERROR(VLOOKUP(C103,$C$45:$Q$58,8,FALSE),0))</f>
        <v>0</v>
      </c>
      <c r="L103" s="50">
        <f t="shared" ref="L103:L108" si="130">D103*(IFERROR(VLOOKUP(C103,$C$45:$Q$58,9,FALSE),0))</f>
        <v>0</v>
      </c>
      <c r="M103" s="51">
        <f t="shared" ref="M103:M108" si="131">D103*(IFERROR(VLOOKUP(C103,$C$45:$Q$58,10,FALSE),0))</f>
        <v>0</v>
      </c>
      <c r="N103">
        <f>O103+P95+Q87+R79</f>
        <v>0</v>
      </c>
      <c r="O103">
        <f t="shared" ref="O103:O108" si="132">D103*(IFERROR(VLOOKUP(C103,$C$45:$Q$58,12,FALSE),0))</f>
        <v>0</v>
      </c>
      <c r="P103" s="150">
        <f t="shared" ref="P103:P108" si="133">D103*(IFERROR(VLOOKUP(C103,$C$45:$Q$58,13,FALSE),0))</f>
        <v>0</v>
      </c>
      <c r="Q103" s="150">
        <f t="shared" ref="Q103:Q108" si="134">D103*(IFERROR(VLOOKUP(C103,$C$45:$Q$58,14,FALSE),0))</f>
        <v>0</v>
      </c>
      <c r="R103" s="150">
        <f t="shared" ref="R103:R108" si="135">D103*(IFERROR(VLOOKUP(C103,$C$45:$Q$58,15,FALSE),0))</f>
        <v>0</v>
      </c>
      <c r="S103">
        <f t="shared" ref="S103:S108" si="136">IF(F103&gt;0,F103,G103)</f>
        <v>0</v>
      </c>
      <c r="T103" s="34" t="str">
        <f>IF(D103="","",D103*$D$9)</f>
        <v/>
      </c>
      <c r="U103" s="35" t="str">
        <f>IF(D103="","",E103)</f>
        <v/>
      </c>
      <c r="V103" s="35" t="str">
        <f>IF(D103="","",D103*(VLOOKUP(C103,$C$45:$M$58,11,FALSE)))</f>
        <v/>
      </c>
      <c r="W103" s="36" t="str">
        <f>IF(T103="","",T103*(VLOOKUP(C103,$C$45:$M$58,11,FALSE)))</f>
        <v/>
      </c>
      <c r="Y103" s="147" t="str">
        <f t="shared" si="32"/>
        <v/>
      </c>
      <c r="Z103" s="147" t="str">
        <f t="shared" si="33"/>
        <v/>
      </c>
      <c r="AA103" s="147" t="str">
        <f t="shared" si="34"/>
        <v/>
      </c>
      <c r="AB103" s="147" t="str">
        <f t="shared" si="35"/>
        <v/>
      </c>
      <c r="AC103" s="147" t="str">
        <f t="shared" si="36"/>
        <v/>
      </c>
      <c r="AD103" s="147" t="str">
        <f t="shared" si="37"/>
        <v/>
      </c>
      <c r="AE103" s="147" t="str">
        <f t="shared" si="38"/>
        <v/>
      </c>
      <c r="AF103" s="147" t="str">
        <f t="shared" si="39"/>
        <v/>
      </c>
      <c r="AG103" s="147" t="str">
        <f t="shared" si="40"/>
        <v/>
      </c>
      <c r="AH103" s="147" t="str">
        <f t="shared" si="41"/>
        <v/>
      </c>
      <c r="AI103" s="147" t="str">
        <f t="shared" si="42"/>
        <v/>
      </c>
      <c r="AJ103" s="147" t="str">
        <f t="shared" si="43"/>
        <v/>
      </c>
      <c r="AK103" s="147" t="str">
        <f t="shared" si="44"/>
        <v/>
      </c>
      <c r="AL103" s="147" t="str">
        <f t="shared" si="45"/>
        <v/>
      </c>
    </row>
    <row r="104" spans="1:38" x14ac:dyDescent="0.3">
      <c r="A104" s="196"/>
      <c r="C104" s="200"/>
      <c r="D104" s="201"/>
      <c r="E104" t="str">
        <f>_xlfn.IFNA(VLOOKUP(C104,'Te gebruiken meststoffen'!$R$3:$AC$10,12,FALSE),"")</f>
        <v/>
      </c>
      <c r="F104" s="52">
        <f t="shared" si="125"/>
        <v>0</v>
      </c>
      <c r="G104" s="52">
        <f t="shared" ref="G104:G108" si="137">O104</f>
        <v>0</v>
      </c>
      <c r="H104" s="52">
        <f t="shared" si="126"/>
        <v>0</v>
      </c>
      <c r="I104" s="52">
        <f t="shared" si="127"/>
        <v>0</v>
      </c>
      <c r="J104" s="52">
        <f t="shared" si="128"/>
        <v>0</v>
      </c>
      <c r="K104" s="52">
        <f t="shared" si="129"/>
        <v>0</v>
      </c>
      <c r="L104" s="52">
        <f t="shared" si="130"/>
        <v>0</v>
      </c>
      <c r="M104" s="53">
        <f t="shared" si="131"/>
        <v>0</v>
      </c>
      <c r="N104">
        <f>O104+P96+Q88+R80</f>
        <v>0</v>
      </c>
      <c r="O104">
        <f t="shared" si="132"/>
        <v>0</v>
      </c>
      <c r="P104" s="150">
        <f t="shared" si="133"/>
        <v>0</v>
      </c>
      <c r="Q104" s="150">
        <f t="shared" si="134"/>
        <v>0</v>
      </c>
      <c r="R104" s="150">
        <f t="shared" si="135"/>
        <v>0</v>
      </c>
      <c r="S104">
        <f t="shared" si="136"/>
        <v>0</v>
      </c>
      <c r="T104" s="40" t="str">
        <f t="shared" ref="T104:T108" si="138">IF(D104="","",D104*$D$9)</f>
        <v/>
      </c>
      <c r="U104" t="str">
        <f t="shared" ref="U104:U108" si="139">IF(D104="","",E104)</f>
        <v/>
      </c>
      <c r="V104" t="str">
        <f t="shared" ref="V104:V108" si="140">IF(D104="","",D104*(VLOOKUP(C104,$C$45:$M$58,11,FALSE)))</f>
        <v/>
      </c>
      <c r="W104" s="43" t="str">
        <f t="shared" ref="W104:W108" si="141">IF(T104="","",T104*(VLOOKUP(C104,$C$45:$M$58,11,FALSE)))</f>
        <v/>
      </c>
      <c r="Y104" s="147" t="str">
        <f t="shared" si="32"/>
        <v/>
      </c>
      <c r="Z104" s="147" t="str">
        <f t="shared" si="33"/>
        <v/>
      </c>
      <c r="AA104" s="147" t="str">
        <f t="shared" si="34"/>
        <v/>
      </c>
      <c r="AB104" s="147" t="str">
        <f t="shared" si="35"/>
        <v/>
      </c>
      <c r="AC104" s="147" t="str">
        <f t="shared" si="36"/>
        <v/>
      </c>
      <c r="AD104" s="147" t="str">
        <f t="shared" si="37"/>
        <v/>
      </c>
      <c r="AE104" s="147" t="str">
        <f t="shared" si="38"/>
        <v/>
      </c>
      <c r="AF104" s="147" t="str">
        <f t="shared" si="39"/>
        <v/>
      </c>
      <c r="AG104" s="147" t="str">
        <f t="shared" si="40"/>
        <v/>
      </c>
      <c r="AH104" s="147" t="str">
        <f t="shared" si="41"/>
        <v/>
      </c>
      <c r="AI104" s="147" t="str">
        <f t="shared" si="42"/>
        <v/>
      </c>
      <c r="AJ104" s="147" t="str">
        <f t="shared" si="43"/>
        <v/>
      </c>
      <c r="AK104" s="147" t="str">
        <f t="shared" si="44"/>
        <v/>
      </c>
      <c r="AL104" s="147" t="str">
        <f t="shared" si="45"/>
        <v/>
      </c>
    </row>
    <row r="105" spans="1:38" x14ac:dyDescent="0.3">
      <c r="A105" s="196"/>
      <c r="C105" s="200"/>
      <c r="D105" s="201"/>
      <c r="E105" t="str">
        <f>_xlfn.IFNA(VLOOKUP(C105,'Te gebruiken meststoffen'!$R$3:$AC$10,12,FALSE),"")</f>
        <v/>
      </c>
      <c r="F105" s="52">
        <f t="shared" si="125"/>
        <v>0</v>
      </c>
      <c r="G105" s="52">
        <f t="shared" si="137"/>
        <v>0</v>
      </c>
      <c r="H105" s="52">
        <f t="shared" si="126"/>
        <v>0</v>
      </c>
      <c r="I105" s="52">
        <f t="shared" si="127"/>
        <v>0</v>
      </c>
      <c r="J105" s="52">
        <f t="shared" si="128"/>
        <v>0</v>
      </c>
      <c r="K105" s="52">
        <f t="shared" si="129"/>
        <v>0</v>
      </c>
      <c r="L105" s="52">
        <f t="shared" si="130"/>
        <v>0</v>
      </c>
      <c r="M105" s="53">
        <f t="shared" si="131"/>
        <v>0</v>
      </c>
      <c r="N105">
        <f>O105+P97+Q89+R81</f>
        <v>0</v>
      </c>
      <c r="O105">
        <f t="shared" si="132"/>
        <v>0</v>
      </c>
      <c r="P105" s="150">
        <f t="shared" si="133"/>
        <v>0</v>
      </c>
      <c r="Q105" s="150">
        <f t="shared" si="134"/>
        <v>0</v>
      </c>
      <c r="R105" s="150">
        <f t="shared" si="135"/>
        <v>0</v>
      </c>
      <c r="S105">
        <f t="shared" si="136"/>
        <v>0</v>
      </c>
      <c r="T105" s="40" t="str">
        <f t="shared" si="138"/>
        <v/>
      </c>
      <c r="U105" t="str">
        <f t="shared" si="139"/>
        <v/>
      </c>
      <c r="V105" t="str">
        <f t="shared" si="140"/>
        <v/>
      </c>
      <c r="W105" s="43" t="str">
        <f t="shared" si="141"/>
        <v/>
      </c>
      <c r="Y105" s="147" t="str">
        <f t="shared" si="32"/>
        <v/>
      </c>
      <c r="Z105" s="147" t="str">
        <f t="shared" si="33"/>
        <v/>
      </c>
      <c r="AA105" s="147" t="str">
        <f t="shared" si="34"/>
        <v/>
      </c>
      <c r="AB105" s="147" t="str">
        <f t="shared" si="35"/>
        <v/>
      </c>
      <c r="AC105" s="147" t="str">
        <f t="shared" si="36"/>
        <v/>
      </c>
      <c r="AD105" s="147" t="str">
        <f t="shared" si="37"/>
        <v/>
      </c>
      <c r="AE105" s="147" t="str">
        <f t="shared" si="38"/>
        <v/>
      </c>
      <c r="AF105" s="147" t="str">
        <f t="shared" si="39"/>
        <v/>
      </c>
      <c r="AG105" s="147" t="str">
        <f t="shared" si="40"/>
        <v/>
      </c>
      <c r="AH105" s="147" t="str">
        <f t="shared" si="41"/>
        <v/>
      </c>
      <c r="AI105" s="147" t="str">
        <f t="shared" si="42"/>
        <v/>
      </c>
      <c r="AJ105" s="147" t="str">
        <f t="shared" si="43"/>
        <v/>
      </c>
      <c r="AK105" s="147" t="str">
        <f t="shared" si="44"/>
        <v/>
      </c>
      <c r="AL105" s="147" t="str">
        <f t="shared" si="45"/>
        <v/>
      </c>
    </row>
    <row r="106" spans="1:38" x14ac:dyDescent="0.3">
      <c r="A106" s="196"/>
      <c r="C106" s="200"/>
      <c r="D106" s="201"/>
      <c r="E106" t="str">
        <f>_xlfn.IFNA(VLOOKUP(C106,'Te gebruiken meststoffen'!$R$3:$AC$10,12,FALSE),"")</f>
        <v/>
      </c>
      <c r="F106" s="52">
        <f t="shared" si="125"/>
        <v>0</v>
      </c>
      <c r="G106" s="52">
        <f t="shared" si="137"/>
        <v>0</v>
      </c>
      <c r="H106" s="52">
        <f t="shared" si="126"/>
        <v>0</v>
      </c>
      <c r="I106" s="52">
        <f t="shared" si="127"/>
        <v>0</v>
      </c>
      <c r="J106" s="52">
        <f t="shared" si="128"/>
        <v>0</v>
      </c>
      <c r="K106" s="52">
        <f t="shared" si="129"/>
        <v>0</v>
      </c>
      <c r="L106" s="52">
        <f t="shared" si="130"/>
        <v>0</v>
      </c>
      <c r="M106" s="53">
        <f t="shared" si="131"/>
        <v>0</v>
      </c>
      <c r="N106">
        <f t="shared" ref="N106:N107" si="142">O106+P98+Q90+R82</f>
        <v>0</v>
      </c>
      <c r="O106">
        <f t="shared" si="132"/>
        <v>0</v>
      </c>
      <c r="P106" s="150">
        <f t="shared" si="133"/>
        <v>0</v>
      </c>
      <c r="Q106" s="150">
        <f t="shared" si="134"/>
        <v>0</v>
      </c>
      <c r="R106" s="150">
        <f t="shared" si="135"/>
        <v>0</v>
      </c>
      <c r="S106">
        <f t="shared" si="136"/>
        <v>0</v>
      </c>
      <c r="T106" s="40" t="str">
        <f t="shared" si="138"/>
        <v/>
      </c>
      <c r="U106" t="str">
        <f t="shared" si="139"/>
        <v/>
      </c>
      <c r="V106" t="str">
        <f t="shared" si="140"/>
        <v/>
      </c>
      <c r="W106" s="43" t="str">
        <f t="shared" si="141"/>
        <v/>
      </c>
      <c r="Y106" s="147" t="str">
        <f t="shared" si="32"/>
        <v/>
      </c>
      <c r="Z106" s="147" t="str">
        <f t="shared" si="33"/>
        <v/>
      </c>
      <c r="AA106" s="147" t="str">
        <f t="shared" si="34"/>
        <v/>
      </c>
      <c r="AB106" s="147" t="str">
        <f t="shared" si="35"/>
        <v/>
      </c>
      <c r="AC106" s="147" t="str">
        <f t="shared" si="36"/>
        <v/>
      </c>
      <c r="AD106" s="147" t="str">
        <f t="shared" si="37"/>
        <v/>
      </c>
      <c r="AE106" s="147" t="str">
        <f t="shared" si="38"/>
        <v/>
      </c>
      <c r="AF106" s="147" t="str">
        <f t="shared" si="39"/>
        <v/>
      </c>
      <c r="AG106" s="147" t="str">
        <f t="shared" si="40"/>
        <v/>
      </c>
      <c r="AH106" s="147" t="str">
        <f t="shared" si="41"/>
        <v/>
      </c>
      <c r="AI106" s="147" t="str">
        <f t="shared" si="42"/>
        <v/>
      </c>
      <c r="AJ106" s="147" t="str">
        <f t="shared" si="43"/>
        <v/>
      </c>
      <c r="AK106" s="147" t="str">
        <f t="shared" si="44"/>
        <v/>
      </c>
      <c r="AL106" s="147" t="str">
        <f t="shared" si="45"/>
        <v/>
      </c>
    </row>
    <row r="107" spans="1:38" x14ac:dyDescent="0.3">
      <c r="A107" s="196"/>
      <c r="C107" s="200"/>
      <c r="D107" s="201"/>
      <c r="E107" t="str">
        <f>_xlfn.IFNA(VLOOKUP(C107,'Te gebruiken meststoffen'!$R$3:$AC$10,12,FALSE),"")</f>
        <v/>
      </c>
      <c r="F107" s="52">
        <f t="shared" si="125"/>
        <v>0</v>
      </c>
      <c r="G107" s="52">
        <f t="shared" si="137"/>
        <v>0</v>
      </c>
      <c r="H107" s="52">
        <f t="shared" si="126"/>
        <v>0</v>
      </c>
      <c r="I107" s="52">
        <f t="shared" si="127"/>
        <v>0</v>
      </c>
      <c r="J107" s="52">
        <f t="shared" si="128"/>
        <v>0</v>
      </c>
      <c r="K107" s="52">
        <f t="shared" si="129"/>
        <v>0</v>
      </c>
      <c r="L107" s="52">
        <f t="shared" si="130"/>
        <v>0</v>
      </c>
      <c r="M107" s="53">
        <f t="shared" si="131"/>
        <v>0</v>
      </c>
      <c r="N107">
        <f t="shared" si="142"/>
        <v>0</v>
      </c>
      <c r="O107">
        <f t="shared" si="132"/>
        <v>0</v>
      </c>
      <c r="P107" s="150">
        <f t="shared" si="133"/>
        <v>0</v>
      </c>
      <c r="Q107" s="150">
        <f t="shared" si="134"/>
        <v>0</v>
      </c>
      <c r="R107" s="150">
        <f t="shared" si="135"/>
        <v>0</v>
      </c>
      <c r="S107">
        <f t="shared" si="136"/>
        <v>0</v>
      </c>
      <c r="T107" s="40" t="str">
        <f t="shared" si="138"/>
        <v/>
      </c>
      <c r="U107" t="str">
        <f t="shared" si="139"/>
        <v/>
      </c>
      <c r="V107" t="str">
        <f t="shared" si="140"/>
        <v/>
      </c>
      <c r="W107" s="43" t="str">
        <f t="shared" si="141"/>
        <v/>
      </c>
      <c r="Y107" s="147" t="str">
        <f t="shared" si="32"/>
        <v/>
      </c>
      <c r="Z107" s="147" t="str">
        <f t="shared" si="33"/>
        <v/>
      </c>
      <c r="AA107" s="147" t="str">
        <f t="shared" si="34"/>
        <v/>
      </c>
      <c r="AB107" s="147" t="str">
        <f t="shared" si="35"/>
        <v/>
      </c>
      <c r="AC107" s="147" t="str">
        <f t="shared" si="36"/>
        <v/>
      </c>
      <c r="AD107" s="147" t="str">
        <f t="shared" si="37"/>
        <v/>
      </c>
      <c r="AE107" s="147" t="str">
        <f t="shared" si="38"/>
        <v/>
      </c>
      <c r="AF107" s="147" t="str">
        <f t="shared" si="39"/>
        <v/>
      </c>
      <c r="AG107" s="147" t="str">
        <f t="shared" si="40"/>
        <v/>
      </c>
      <c r="AH107" s="147" t="str">
        <f t="shared" si="41"/>
        <v/>
      </c>
      <c r="AI107" s="147" t="str">
        <f t="shared" si="42"/>
        <v/>
      </c>
      <c r="AJ107" s="147" t="str">
        <f t="shared" si="43"/>
        <v/>
      </c>
      <c r="AK107" s="147" t="str">
        <f t="shared" si="44"/>
        <v/>
      </c>
      <c r="AL107" s="147" t="str">
        <f t="shared" si="45"/>
        <v/>
      </c>
    </row>
    <row r="108" spans="1:38" ht="15" thickBot="1" x14ac:dyDescent="0.35">
      <c r="A108" s="197"/>
      <c r="C108" s="200"/>
      <c r="D108" s="201"/>
      <c r="E108" t="str">
        <f>_xlfn.IFNA(VLOOKUP(C108,'Te gebruiken meststoffen'!$R$3:$AC$10,12,FALSE),"")</f>
        <v/>
      </c>
      <c r="F108" s="52">
        <f t="shared" si="125"/>
        <v>0</v>
      </c>
      <c r="G108" s="52">
        <f t="shared" si="137"/>
        <v>0</v>
      </c>
      <c r="H108" s="52">
        <f t="shared" si="126"/>
        <v>0</v>
      </c>
      <c r="I108" s="52">
        <f t="shared" si="127"/>
        <v>0</v>
      </c>
      <c r="J108" s="52">
        <f t="shared" si="128"/>
        <v>0</v>
      </c>
      <c r="K108" s="52">
        <f t="shared" si="129"/>
        <v>0</v>
      </c>
      <c r="L108" s="52">
        <f t="shared" si="130"/>
        <v>0</v>
      </c>
      <c r="M108" s="53">
        <f t="shared" si="131"/>
        <v>0</v>
      </c>
      <c r="N108">
        <f>O108+P100+Q92+R84</f>
        <v>0</v>
      </c>
      <c r="O108">
        <f t="shared" si="132"/>
        <v>0</v>
      </c>
      <c r="P108" s="150">
        <f t="shared" si="133"/>
        <v>0</v>
      </c>
      <c r="Q108" s="150">
        <f t="shared" si="134"/>
        <v>0</v>
      </c>
      <c r="R108" s="150">
        <f t="shared" si="135"/>
        <v>0</v>
      </c>
      <c r="S108">
        <f t="shared" si="136"/>
        <v>0</v>
      </c>
      <c r="T108" s="134" t="str">
        <f t="shared" si="138"/>
        <v/>
      </c>
      <c r="U108" s="131" t="str">
        <f t="shared" si="139"/>
        <v/>
      </c>
      <c r="V108" s="131" t="str">
        <f t="shared" si="140"/>
        <v/>
      </c>
      <c r="W108" s="135" t="str">
        <f t="shared" si="141"/>
        <v/>
      </c>
      <c r="Y108" s="147" t="str">
        <f t="shared" si="32"/>
        <v/>
      </c>
      <c r="Z108" s="147" t="str">
        <f t="shared" si="33"/>
        <v/>
      </c>
      <c r="AA108" s="147" t="str">
        <f t="shared" si="34"/>
        <v/>
      </c>
      <c r="AB108" s="147" t="str">
        <f t="shared" si="35"/>
        <v/>
      </c>
      <c r="AC108" s="147" t="str">
        <f t="shared" si="36"/>
        <v/>
      </c>
      <c r="AD108" s="147" t="str">
        <f t="shared" si="37"/>
        <v/>
      </c>
      <c r="AE108" s="147" t="str">
        <f t="shared" si="38"/>
        <v/>
      </c>
      <c r="AF108" s="147" t="str">
        <f t="shared" si="39"/>
        <v/>
      </c>
      <c r="AG108" s="147" t="str">
        <f t="shared" si="40"/>
        <v/>
      </c>
      <c r="AH108" s="147" t="str">
        <f t="shared" si="41"/>
        <v/>
      </c>
      <c r="AI108" s="147" t="str">
        <f t="shared" si="42"/>
        <v/>
      </c>
      <c r="AJ108" s="147" t="str">
        <f t="shared" si="43"/>
        <v/>
      </c>
      <c r="AK108" s="147" t="str">
        <f t="shared" si="44"/>
        <v/>
      </c>
      <c r="AL108" s="147" t="str">
        <f t="shared" si="45"/>
        <v/>
      </c>
    </row>
    <row r="109" spans="1:38" ht="15" thickBot="1" x14ac:dyDescent="0.35">
      <c r="C109" s="75"/>
      <c r="D109" s="76"/>
      <c r="E109" s="56" t="s">
        <v>509</v>
      </c>
      <c r="F109" s="56">
        <f t="shared" ref="F109:M109" si="143">SUM(F103:F108)</f>
        <v>0</v>
      </c>
      <c r="G109" s="79">
        <f>SUM(G102:G108)</f>
        <v>0</v>
      </c>
      <c r="H109" s="56">
        <f t="shared" si="143"/>
        <v>0</v>
      </c>
      <c r="I109" s="56">
        <f t="shared" si="143"/>
        <v>0</v>
      </c>
      <c r="J109" s="56">
        <f t="shared" si="143"/>
        <v>0</v>
      </c>
      <c r="K109" s="56">
        <f t="shared" si="143"/>
        <v>0</v>
      </c>
      <c r="L109" s="56">
        <f t="shared" si="143"/>
        <v>0</v>
      </c>
      <c r="M109" s="80">
        <f t="shared" si="143"/>
        <v>0</v>
      </c>
      <c r="N109" s="60">
        <f>SUM(O103:O108,P95:P100,Q87:Q92,R79:R84)</f>
        <v>0</v>
      </c>
      <c r="T109" s="138"/>
      <c r="U109" s="139"/>
      <c r="V109" s="139">
        <f>SUM(V103:V108)</f>
        <v>0</v>
      </c>
      <c r="W109" s="140">
        <f>SUM(W103:W108)</f>
        <v>0</v>
      </c>
      <c r="Y109" s="147">
        <f t="shared" ref="Y109:AL109" si="144">SUM(Y63:Y108)</f>
        <v>0</v>
      </c>
      <c r="Z109" s="147">
        <f t="shared" si="144"/>
        <v>0</v>
      </c>
      <c r="AA109" s="147">
        <f t="shared" si="144"/>
        <v>0</v>
      </c>
      <c r="AB109" s="147">
        <f t="shared" si="144"/>
        <v>0</v>
      </c>
      <c r="AC109" s="147">
        <f t="shared" si="144"/>
        <v>0</v>
      </c>
      <c r="AD109" s="147">
        <f t="shared" si="144"/>
        <v>0</v>
      </c>
      <c r="AE109" s="147">
        <f t="shared" si="144"/>
        <v>0</v>
      </c>
      <c r="AF109" s="147">
        <f t="shared" si="144"/>
        <v>0</v>
      </c>
      <c r="AG109" s="147">
        <f t="shared" si="144"/>
        <v>0</v>
      </c>
      <c r="AH109" s="147">
        <f t="shared" si="144"/>
        <v>0</v>
      </c>
      <c r="AI109" s="147">
        <f t="shared" si="144"/>
        <v>0</v>
      </c>
      <c r="AJ109" s="147">
        <f t="shared" si="144"/>
        <v>0</v>
      </c>
      <c r="AK109" s="147">
        <f t="shared" si="144"/>
        <v>0</v>
      </c>
      <c r="AL109" s="147">
        <f t="shared" si="144"/>
        <v>0</v>
      </c>
    </row>
    <row r="110" spans="1:38" ht="19.8" thickBot="1" x14ac:dyDescent="0.35">
      <c r="E110" s="136"/>
      <c r="F110" s="48" t="s">
        <v>470</v>
      </c>
      <c r="G110" s="48" t="s">
        <v>400</v>
      </c>
      <c r="H110" s="48" t="s">
        <v>414</v>
      </c>
      <c r="I110" s="48" t="s">
        <v>415</v>
      </c>
      <c r="J110" s="48" t="s">
        <v>416</v>
      </c>
      <c r="K110" s="48" t="s">
        <v>417</v>
      </c>
      <c r="L110" s="48" t="s">
        <v>418</v>
      </c>
      <c r="M110" s="57" t="s">
        <v>419</v>
      </c>
      <c r="N110" s="60"/>
      <c r="O110" t="s">
        <v>621</v>
      </c>
      <c r="S110" t="s">
        <v>609</v>
      </c>
      <c r="V110" s="142" t="s">
        <v>614</v>
      </c>
      <c r="W110" s="141" t="s">
        <v>616</v>
      </c>
    </row>
    <row r="111" spans="1:38" ht="15" thickBot="1" x14ac:dyDescent="0.35">
      <c r="E111" s="94" t="s">
        <v>518</v>
      </c>
      <c r="F111" s="145">
        <f>SUM(F69,F77,F85,F93,F101,F109)</f>
        <v>0</v>
      </c>
      <c r="G111" s="50">
        <f>SUM(G69,G77,G85,G93,G101,G109,O111)</f>
        <v>0</v>
      </c>
      <c r="H111" s="50">
        <f t="shared" ref="H111:M111" si="145">SUM(H69,H77,H85,H93,H101,H109)</f>
        <v>0</v>
      </c>
      <c r="I111" s="50">
        <f t="shared" si="145"/>
        <v>0</v>
      </c>
      <c r="J111" s="50">
        <f t="shared" si="145"/>
        <v>0</v>
      </c>
      <c r="K111" s="50">
        <f t="shared" si="145"/>
        <v>0</v>
      </c>
      <c r="L111" s="50">
        <f t="shared" si="145"/>
        <v>0</v>
      </c>
      <c r="M111" s="51">
        <f t="shared" si="145"/>
        <v>0</v>
      </c>
      <c r="O111" s="52">
        <f>SUM(P103:R108,Q95:R100,R87:R92)</f>
        <v>0</v>
      </c>
      <c r="S111">
        <f>SUM(S102,S94,S86,S78,S70,S69)</f>
        <v>0</v>
      </c>
      <c r="U111" s="115" t="s">
        <v>617</v>
      </c>
      <c r="V111" s="75">
        <f>SUM(V109,V101,V93,V85,V77,V69,)</f>
        <v>0</v>
      </c>
      <c r="W111" s="77">
        <f>SUM(W109,W101,W93,W85,W77,W69,)</f>
        <v>0</v>
      </c>
    </row>
    <row r="112" spans="1:38" hidden="1" x14ac:dyDescent="0.3">
      <c r="B112" t="s">
        <v>516</v>
      </c>
      <c r="E112" s="143" t="s">
        <v>520</v>
      </c>
      <c r="F112" s="40"/>
      <c r="G112" t="str">
        <f t="shared" ref="G112:M112" si="146">IF(D35="",D34,D35)</f>
        <v/>
      </c>
      <c r="H112" t="str">
        <f t="shared" si="146"/>
        <v/>
      </c>
      <c r="I112" t="str">
        <f t="shared" si="146"/>
        <v/>
      </c>
      <c r="J112" t="str">
        <f t="shared" si="146"/>
        <v/>
      </c>
      <c r="K112" t="str">
        <f t="shared" si="146"/>
        <v/>
      </c>
      <c r="L112" t="str">
        <f t="shared" si="146"/>
        <v/>
      </c>
      <c r="M112" s="43" t="str">
        <f t="shared" si="146"/>
        <v/>
      </c>
    </row>
    <row r="113" spans="1:19" hidden="1" x14ac:dyDescent="0.3">
      <c r="B113" t="s">
        <v>516</v>
      </c>
      <c r="E113" s="95" t="s">
        <v>519</v>
      </c>
      <c r="F113" s="40"/>
      <c r="G113" s="52" t="str">
        <f t="shared" ref="G113:J113" si="147">IF(G112=0,100,IF(G112="","",100*(G111/G112)))</f>
        <v/>
      </c>
      <c r="H113" s="52" t="str">
        <f t="shared" si="147"/>
        <v/>
      </c>
      <c r="I113" s="52" t="str">
        <f t="shared" si="147"/>
        <v/>
      </c>
      <c r="J113" s="52" t="str">
        <f t="shared" si="147"/>
        <v/>
      </c>
      <c r="K113" s="52" t="str">
        <f>IF(K112=0,100,IF(K112="","",100*(K111/K112)))</f>
        <v/>
      </c>
      <c r="L113" s="52" t="str">
        <f>IF(L112=0,100,IF(L112="","",100*(L111/L112)))</f>
        <v/>
      </c>
      <c r="M113" s="53" t="str">
        <f>IF(M112=0,100,IF(M112="","",100*(M111/M112)))</f>
        <v/>
      </c>
    </row>
    <row r="114" spans="1:19" hidden="1" x14ac:dyDescent="0.3">
      <c r="B114" t="s">
        <v>517</v>
      </c>
      <c r="E114" s="143" t="s">
        <v>529</v>
      </c>
      <c r="F114" s="40"/>
      <c r="G114" s="52">
        <f t="shared" ref="G114:M114" si="148">D31</f>
        <v>0</v>
      </c>
      <c r="H114" s="52">
        <f t="shared" si="148"/>
        <v>0</v>
      </c>
      <c r="I114" s="52">
        <f t="shared" si="148"/>
        <v>0</v>
      </c>
      <c r="J114" s="52">
        <f t="shared" si="148"/>
        <v>0</v>
      </c>
      <c r="K114" s="52">
        <f t="shared" si="148"/>
        <v>0</v>
      </c>
      <c r="L114" s="52">
        <f t="shared" si="148"/>
        <v>0</v>
      </c>
      <c r="M114" s="53">
        <f t="shared" si="148"/>
        <v>0</v>
      </c>
    </row>
    <row r="115" spans="1:19" hidden="1" x14ac:dyDescent="0.3">
      <c r="B115" t="s">
        <v>517</v>
      </c>
      <c r="E115" s="95" t="s">
        <v>519</v>
      </c>
      <c r="F115" s="40"/>
      <c r="G115" s="52">
        <f t="shared" ref="G115:J115" si="149">IF(G114=0,100,IF(G114="","",100*(G111/G114)))</f>
        <v>100</v>
      </c>
      <c r="H115" s="52">
        <f t="shared" si="149"/>
        <v>100</v>
      </c>
      <c r="I115" s="52">
        <f t="shared" si="149"/>
        <v>100</v>
      </c>
      <c r="J115" s="52">
        <f t="shared" si="149"/>
        <v>100</v>
      </c>
      <c r="K115" s="52">
        <f>IF(K114=0,100,IF(K114="","",100*(K111/K114)))</f>
        <v>100</v>
      </c>
      <c r="L115" s="52">
        <f t="shared" ref="L115:M115" si="150">IF(L114=0,100,IF(L114="","",100*(L111/L114)))</f>
        <v>100</v>
      </c>
      <c r="M115" s="53">
        <f t="shared" si="150"/>
        <v>100</v>
      </c>
    </row>
    <row r="116" spans="1:19" hidden="1" x14ac:dyDescent="0.3">
      <c r="E116" s="95"/>
      <c r="F116" s="40"/>
      <c r="G116" s="83">
        <v>100</v>
      </c>
      <c r="H116" s="83">
        <v>100</v>
      </c>
      <c r="I116" s="83">
        <v>100</v>
      </c>
      <c r="J116" s="83">
        <v>100</v>
      </c>
      <c r="K116" s="83">
        <v>100</v>
      </c>
      <c r="L116" s="83">
        <v>100</v>
      </c>
      <c r="M116" s="137">
        <v>100</v>
      </c>
    </row>
    <row r="117" spans="1:19" x14ac:dyDescent="0.3">
      <c r="B117" t="str" cm="1">
        <f t="array" ref="B117:M118">_xlfn._xlws.FILTER(B112:M115,B112:B115=C20)</f>
        <v>Per jaar</v>
      </c>
      <c r="C117">
        <v>0</v>
      </c>
      <c r="D117">
        <v>0</v>
      </c>
      <c r="E117" s="143" t="str">
        <v>ADVIES</v>
      </c>
      <c r="F117" s="40">
        <v>0</v>
      </c>
      <c r="G117" s="52" t="str">
        <v/>
      </c>
      <c r="H117" s="52" t="str">
        <v/>
      </c>
      <c r="I117" s="52" t="str">
        <v/>
      </c>
      <c r="J117" s="52" t="str">
        <v/>
      </c>
      <c r="K117" s="52" t="str">
        <v/>
      </c>
      <c r="L117" s="52" t="str">
        <v/>
      </c>
      <c r="M117" s="53" t="str">
        <v/>
      </c>
    </row>
    <row r="118" spans="1:19" ht="13.95" customHeight="1" thickBot="1" x14ac:dyDescent="0.35">
      <c r="B118" t="str">
        <v>Per jaar</v>
      </c>
      <c r="C118">
        <v>0</v>
      </c>
      <c r="D118">
        <v>0</v>
      </c>
      <c r="E118" s="96" t="str">
        <v>Percentage van advies bemest</v>
      </c>
      <c r="F118" s="37">
        <v>0</v>
      </c>
      <c r="G118" s="54" t="str">
        <v/>
      </c>
      <c r="H118" s="54" t="str">
        <v/>
      </c>
      <c r="I118" s="54" t="str">
        <v/>
      </c>
      <c r="J118" s="54" t="str">
        <v/>
      </c>
      <c r="K118" s="54" t="str">
        <v/>
      </c>
      <c r="L118" s="54" t="str">
        <v/>
      </c>
      <c r="M118" s="55" t="str">
        <v/>
      </c>
    </row>
    <row r="119" spans="1:19" hidden="1" x14ac:dyDescent="0.3">
      <c r="G119" s="127">
        <v>100</v>
      </c>
      <c r="H119" s="127">
        <v>100</v>
      </c>
      <c r="I119" s="127">
        <v>100</v>
      </c>
      <c r="J119" s="127">
        <v>100</v>
      </c>
      <c r="K119" s="127">
        <v>100</v>
      </c>
      <c r="L119" s="127">
        <v>100</v>
      </c>
      <c r="M119" s="127">
        <v>100</v>
      </c>
    </row>
    <row r="120" spans="1:19" x14ac:dyDescent="0.3">
      <c r="E120" s="42" t="str">
        <f>IF(_xlfn.CONCAT(E121:M124)="","","Waarschuwingen:")</f>
        <v/>
      </c>
      <c r="G120" s="151">
        <v>100</v>
      </c>
      <c r="H120" s="151">
        <v>100</v>
      </c>
      <c r="I120" s="151">
        <v>100</v>
      </c>
      <c r="J120" s="151">
        <v>100</v>
      </c>
      <c r="K120" s="151">
        <v>100</v>
      </c>
      <c r="L120" s="151">
        <v>100</v>
      </c>
      <c r="M120" s="151">
        <v>100</v>
      </c>
      <c r="N120" s="52">
        <v>100</v>
      </c>
      <c r="O120" s="52">
        <v>100</v>
      </c>
      <c r="P120" s="52">
        <v>100</v>
      </c>
      <c r="Q120" s="52">
        <v>100</v>
      </c>
      <c r="R120" s="52">
        <v>100</v>
      </c>
      <c r="S120" s="52">
        <v>100</v>
      </c>
    </row>
    <row r="121" spans="1:19" x14ac:dyDescent="0.3">
      <c r="E121" s="219" t="str">
        <f>IF(O111&gt;0,_xlfn.CONCAT("Er komt vermoedelijk nog ",O111," kg N vrij na het nemen van de laatste snede. Zet de meststof met langere vrijgave best wat eerder in voor een betere N-benutting en het verlagen van uitspoeling."),"")</f>
        <v/>
      </c>
      <c r="F121" s="219"/>
      <c r="G121" s="219"/>
      <c r="H121" s="219"/>
      <c r="I121" s="219"/>
      <c r="J121" s="219"/>
      <c r="K121" s="219"/>
      <c r="L121" s="219"/>
      <c r="M121" s="219"/>
      <c r="N121" s="52"/>
      <c r="O121" s="52"/>
      <c r="P121" s="52"/>
      <c r="Q121" s="52"/>
      <c r="R121" s="52"/>
      <c r="S121" s="52"/>
    </row>
    <row r="122" spans="1:19" ht="14.4" customHeight="1" x14ac:dyDescent="0.3">
      <c r="E122" s="212" t="str">
        <f>IF(F111&gt;C16,"Let op dat u niet teveel dierlijke stikstof op het grasland brengt! De norm is 170, maar op perceelsniveau kan tot maximaal 150% (255 kg Ndier) worden afgeweken, indien er op bedrijfsniveau wel aan de 170 wordt voldaan.","")</f>
        <v/>
      </c>
      <c r="F122" s="212"/>
      <c r="G122" s="212"/>
      <c r="H122" s="212"/>
      <c r="I122" s="212"/>
      <c r="J122" s="212"/>
      <c r="K122" s="212"/>
      <c r="L122" s="212"/>
      <c r="M122" s="212"/>
      <c r="N122" s="52"/>
      <c r="O122" s="52"/>
      <c r="P122" s="52"/>
      <c r="Q122" s="52"/>
      <c r="R122" s="52"/>
      <c r="S122" s="52"/>
    </row>
    <row r="123" spans="1:19" ht="15" customHeight="1" x14ac:dyDescent="0.3">
      <c r="E123" s="212" t="str">
        <f>IF(G111&gt;D16,_xlfn.CONCAT("Let op dat u niet teveel werkzame stikstof op het grasland brengt! De norm is ",D16,", maar op perceelsniveau kan tot maximaal 125% (",D16*1.25," kg Nwerkzaam) worden afgeweken, indien er op bedrijfsniveau wel aan de normen wordt voldaan."),"")</f>
        <v/>
      </c>
      <c r="F123" s="212"/>
      <c r="G123" s="212"/>
      <c r="H123" s="212"/>
      <c r="I123" s="212"/>
      <c r="J123" s="212"/>
      <c r="K123" s="212"/>
      <c r="L123" s="212"/>
      <c r="M123" s="212"/>
      <c r="N123" s="52"/>
      <c r="O123" s="52"/>
      <c r="P123" s="52"/>
      <c r="Q123" s="52"/>
      <c r="R123" s="52"/>
      <c r="S123" s="52"/>
    </row>
    <row r="124" spans="1:19" ht="16.8" customHeight="1" x14ac:dyDescent="0.3">
      <c r="E124" s="212" t="str">
        <f>IF(H111&gt;E16,_xlfn.CONCAT("Pas op u overschrijdt de fosfaatnorm van ",E16," kg ",E15," voor dit perceel."),"")</f>
        <v/>
      </c>
      <c r="F124" s="212"/>
      <c r="G124" s="212"/>
      <c r="H124" s="212"/>
      <c r="I124" s="212"/>
      <c r="J124" s="212"/>
      <c r="K124" s="212"/>
      <c r="L124" s="212"/>
      <c r="M124" s="212"/>
      <c r="N124" s="52"/>
      <c r="O124" s="52"/>
      <c r="P124" s="52"/>
      <c r="Q124" s="52"/>
      <c r="R124" s="52"/>
      <c r="S124" s="52"/>
    </row>
    <row r="125" spans="1:19" x14ac:dyDescent="0.3">
      <c r="A125" s="52"/>
      <c r="E125" s="4" t="s">
        <v>521</v>
      </c>
    </row>
    <row r="126" spans="1:19" x14ac:dyDescent="0.3">
      <c r="E126" t="s">
        <v>465</v>
      </c>
      <c r="G126" s="52" t="e">
        <f t="shared" ref="G126:M126" si="151">100*(G69/G111)</f>
        <v>#DIV/0!</v>
      </c>
      <c r="H126" s="52" t="e">
        <f t="shared" si="151"/>
        <v>#DIV/0!</v>
      </c>
      <c r="I126" s="52" t="e">
        <f t="shared" si="151"/>
        <v>#DIV/0!</v>
      </c>
      <c r="J126" s="52" t="e">
        <f t="shared" si="151"/>
        <v>#DIV/0!</v>
      </c>
      <c r="K126" s="52" t="e">
        <f t="shared" si="151"/>
        <v>#DIV/0!</v>
      </c>
      <c r="L126" s="52" t="e">
        <f t="shared" si="151"/>
        <v>#DIV/0!</v>
      </c>
      <c r="M126" s="52" t="e">
        <f t="shared" si="151"/>
        <v>#DIV/0!</v>
      </c>
    </row>
    <row r="127" spans="1:19" x14ac:dyDescent="0.3">
      <c r="E127" t="s">
        <v>499</v>
      </c>
      <c r="G127" s="52" t="e">
        <f t="shared" ref="G127:M127" si="152">100*(G77/G111)</f>
        <v>#DIV/0!</v>
      </c>
      <c r="H127" s="52" t="e">
        <f t="shared" si="152"/>
        <v>#DIV/0!</v>
      </c>
      <c r="I127" s="52" t="e">
        <f t="shared" si="152"/>
        <v>#DIV/0!</v>
      </c>
      <c r="J127" s="52" t="e">
        <f t="shared" si="152"/>
        <v>#DIV/0!</v>
      </c>
      <c r="K127" s="52" t="e">
        <f t="shared" si="152"/>
        <v>#DIV/0!</v>
      </c>
      <c r="L127" s="52" t="e">
        <f t="shared" si="152"/>
        <v>#DIV/0!</v>
      </c>
      <c r="M127" s="52" t="e">
        <f t="shared" si="152"/>
        <v>#DIV/0!</v>
      </c>
    </row>
    <row r="128" spans="1:19" x14ac:dyDescent="0.3">
      <c r="E128" t="s">
        <v>500</v>
      </c>
      <c r="G128" s="52" t="e">
        <f t="shared" ref="G128:M128" si="153">100*(G85/G111)</f>
        <v>#DIV/0!</v>
      </c>
      <c r="H128" s="52" t="e">
        <f t="shared" si="153"/>
        <v>#DIV/0!</v>
      </c>
      <c r="I128" s="52" t="e">
        <f t="shared" si="153"/>
        <v>#DIV/0!</v>
      </c>
      <c r="J128" s="52" t="e">
        <f t="shared" si="153"/>
        <v>#DIV/0!</v>
      </c>
      <c r="K128" s="52" t="e">
        <f t="shared" si="153"/>
        <v>#DIV/0!</v>
      </c>
      <c r="L128" s="52" t="e">
        <f t="shared" si="153"/>
        <v>#DIV/0!</v>
      </c>
      <c r="M128" s="52" t="e">
        <f t="shared" si="153"/>
        <v>#DIV/0!</v>
      </c>
    </row>
    <row r="129" spans="3:13" x14ac:dyDescent="0.3">
      <c r="E129" t="s">
        <v>501</v>
      </c>
      <c r="G129" s="52" t="e">
        <f t="shared" ref="G129:M129" si="154">100*(G93/G111)</f>
        <v>#DIV/0!</v>
      </c>
      <c r="H129" s="52" t="e">
        <f t="shared" si="154"/>
        <v>#DIV/0!</v>
      </c>
      <c r="I129" s="52" t="e">
        <f t="shared" si="154"/>
        <v>#DIV/0!</v>
      </c>
      <c r="J129" s="52" t="e">
        <f t="shared" si="154"/>
        <v>#DIV/0!</v>
      </c>
      <c r="K129" s="52" t="e">
        <f t="shared" si="154"/>
        <v>#DIV/0!</v>
      </c>
      <c r="L129" s="52" t="e">
        <f t="shared" si="154"/>
        <v>#DIV/0!</v>
      </c>
      <c r="M129" s="52" t="e">
        <f t="shared" si="154"/>
        <v>#DIV/0!</v>
      </c>
    </row>
    <row r="130" spans="3:13" x14ac:dyDescent="0.3">
      <c r="E130" t="s">
        <v>502</v>
      </c>
      <c r="G130" s="52" t="e">
        <f t="shared" ref="G130:M130" si="155">100*(G101/G111)</f>
        <v>#DIV/0!</v>
      </c>
      <c r="H130" s="52" t="e">
        <f t="shared" si="155"/>
        <v>#DIV/0!</v>
      </c>
      <c r="I130" s="52" t="e">
        <f t="shared" si="155"/>
        <v>#DIV/0!</v>
      </c>
      <c r="J130" s="52" t="e">
        <f t="shared" si="155"/>
        <v>#DIV/0!</v>
      </c>
      <c r="K130" s="52" t="e">
        <f t="shared" si="155"/>
        <v>#DIV/0!</v>
      </c>
      <c r="L130" s="52" t="e">
        <f t="shared" si="155"/>
        <v>#DIV/0!</v>
      </c>
      <c r="M130" s="52" t="e">
        <f t="shared" si="155"/>
        <v>#DIV/0!</v>
      </c>
    </row>
    <row r="131" spans="3:13" x14ac:dyDescent="0.3">
      <c r="E131" t="s">
        <v>503</v>
      </c>
      <c r="G131" s="52" t="e">
        <f>100*(G109/G111)</f>
        <v>#DIV/0!</v>
      </c>
      <c r="H131" s="52" t="e">
        <f t="shared" ref="H131:M131" si="156">100*(H109/H111)</f>
        <v>#DIV/0!</v>
      </c>
      <c r="I131" s="52" t="e">
        <f t="shared" si="156"/>
        <v>#DIV/0!</v>
      </c>
      <c r="J131" s="52" t="e">
        <f t="shared" si="156"/>
        <v>#DIV/0!</v>
      </c>
      <c r="K131" s="52" t="e">
        <f t="shared" si="156"/>
        <v>#DIV/0!</v>
      </c>
      <c r="L131" s="52" t="e">
        <f t="shared" si="156"/>
        <v>#DIV/0!</v>
      </c>
      <c r="M131" s="52" t="e">
        <f t="shared" si="156"/>
        <v>#DIV/0!</v>
      </c>
    </row>
    <row r="132" spans="3:13" x14ac:dyDescent="0.3">
      <c r="G132" s="52"/>
      <c r="H132" s="52"/>
      <c r="I132" s="52"/>
      <c r="J132" s="52"/>
      <c r="K132" s="52"/>
      <c r="L132" s="52"/>
      <c r="M132" s="52"/>
    </row>
    <row r="133" spans="3:13" x14ac:dyDescent="0.3">
      <c r="E133" s="4" t="s">
        <v>519</v>
      </c>
      <c r="G133" s="52"/>
      <c r="H133" s="52"/>
      <c r="I133" s="52"/>
      <c r="J133" s="52"/>
      <c r="K133" s="52"/>
      <c r="L133" s="52"/>
      <c r="M133" s="52"/>
    </row>
    <row r="134" spans="3:13" x14ac:dyDescent="0.3">
      <c r="E134" t="s">
        <v>465</v>
      </c>
      <c r="G134" s="52" t="str">
        <f t="shared" ref="G134:M134" si="157">IFERROR(100*(G69/D35),"")</f>
        <v/>
      </c>
      <c r="H134" s="52" t="str">
        <f t="shared" si="157"/>
        <v/>
      </c>
      <c r="I134" s="52" t="str">
        <f t="shared" si="157"/>
        <v/>
      </c>
      <c r="J134" s="52" t="str">
        <f t="shared" si="157"/>
        <v/>
      </c>
      <c r="K134" s="52" t="str">
        <f t="shared" si="157"/>
        <v/>
      </c>
      <c r="L134" s="52" t="str">
        <f t="shared" si="157"/>
        <v/>
      </c>
      <c r="M134" s="52" t="str">
        <f t="shared" si="157"/>
        <v/>
      </c>
    </row>
    <row r="135" spans="3:13" x14ac:dyDescent="0.3">
      <c r="E135" t="s">
        <v>499</v>
      </c>
      <c r="G135" s="52" t="str">
        <f t="shared" ref="G135:M135" si="158">IFERROR(100*(G77/D36),"")</f>
        <v/>
      </c>
      <c r="H135" s="52" t="str">
        <f t="shared" si="158"/>
        <v/>
      </c>
      <c r="I135" s="52" t="str">
        <f t="shared" si="158"/>
        <v/>
      </c>
      <c r="J135" s="52" t="str">
        <f t="shared" si="158"/>
        <v/>
      </c>
      <c r="K135" s="52" t="str">
        <f t="shared" si="158"/>
        <v/>
      </c>
      <c r="L135" s="52" t="str">
        <f t="shared" si="158"/>
        <v/>
      </c>
      <c r="M135" s="52" t="str">
        <f t="shared" si="158"/>
        <v/>
      </c>
    </row>
    <row r="136" spans="3:13" x14ac:dyDescent="0.3">
      <c r="E136" t="s">
        <v>531</v>
      </c>
      <c r="G136" s="152" t="str">
        <f t="shared" ref="G136:M136" si="159">IFERROR(100*((G69+G77)/(D35+D36)),"")</f>
        <v/>
      </c>
      <c r="H136" s="52" t="str">
        <f t="shared" si="159"/>
        <v/>
      </c>
      <c r="I136" s="52" t="str">
        <f t="shared" si="159"/>
        <v/>
      </c>
      <c r="J136" s="52" t="str">
        <f t="shared" si="159"/>
        <v/>
      </c>
      <c r="K136" s="52" t="str">
        <f t="shared" si="159"/>
        <v/>
      </c>
      <c r="L136" s="52" t="str">
        <f t="shared" si="159"/>
        <v/>
      </c>
      <c r="M136" s="52" t="str">
        <f t="shared" si="159"/>
        <v/>
      </c>
    </row>
    <row r="137" spans="3:13" x14ac:dyDescent="0.3">
      <c r="E137" t="s">
        <v>500</v>
      </c>
      <c r="G137" s="52" t="str">
        <f t="shared" ref="G137:M137" si="160">IFERROR(100*(G85/D37),"")</f>
        <v/>
      </c>
      <c r="H137" s="52" t="str">
        <f t="shared" si="160"/>
        <v/>
      </c>
      <c r="I137" s="52" t="str">
        <f t="shared" si="160"/>
        <v/>
      </c>
      <c r="J137" s="52" t="str">
        <f t="shared" si="160"/>
        <v/>
      </c>
      <c r="K137" s="52" t="str">
        <f t="shared" si="160"/>
        <v/>
      </c>
      <c r="L137" s="52" t="str">
        <f t="shared" si="160"/>
        <v/>
      </c>
      <c r="M137" s="52" t="str">
        <f t="shared" si="160"/>
        <v/>
      </c>
    </row>
    <row r="138" spans="3:13" x14ac:dyDescent="0.3">
      <c r="E138" t="s">
        <v>501</v>
      </c>
      <c r="G138" s="52" t="str">
        <f t="shared" ref="G138:M138" si="161">IFERROR(100*(G93/D38),"")</f>
        <v/>
      </c>
      <c r="H138" s="52" t="str">
        <f t="shared" si="161"/>
        <v/>
      </c>
      <c r="I138" s="52" t="str">
        <f t="shared" si="161"/>
        <v/>
      </c>
      <c r="J138" s="52" t="str">
        <f t="shared" si="161"/>
        <v/>
      </c>
      <c r="K138" s="52" t="str">
        <f t="shared" si="161"/>
        <v/>
      </c>
      <c r="L138" s="52" t="str">
        <f t="shared" si="161"/>
        <v/>
      </c>
      <c r="M138" s="52" t="str">
        <f t="shared" si="161"/>
        <v/>
      </c>
    </row>
    <row r="139" spans="3:13" x14ac:dyDescent="0.3">
      <c r="E139" t="s">
        <v>502</v>
      </c>
      <c r="G139" s="52" t="str">
        <f t="shared" ref="G139:M139" si="162">IFERROR(100*(G101/D39),"")</f>
        <v/>
      </c>
      <c r="H139" s="52" t="str">
        <f t="shared" si="162"/>
        <v/>
      </c>
      <c r="I139" s="52" t="str">
        <f t="shared" si="162"/>
        <v/>
      </c>
      <c r="J139" s="52" t="str">
        <f t="shared" si="162"/>
        <v/>
      </c>
      <c r="K139" s="52" t="str">
        <f t="shared" si="162"/>
        <v/>
      </c>
      <c r="L139" s="52" t="str">
        <f t="shared" si="162"/>
        <v/>
      </c>
      <c r="M139" s="52" t="str">
        <f t="shared" si="162"/>
        <v/>
      </c>
    </row>
    <row r="140" spans="3:13" x14ac:dyDescent="0.3">
      <c r="E140" t="s">
        <v>503</v>
      </c>
      <c r="G140" s="52" t="str">
        <f t="shared" ref="G140:M140" si="163">IFERROR(100*(G109/D40),"")</f>
        <v/>
      </c>
      <c r="H140" s="52" t="str">
        <f t="shared" si="163"/>
        <v/>
      </c>
      <c r="I140" s="52" t="str">
        <f t="shared" si="163"/>
        <v/>
      </c>
      <c r="J140" s="52" t="str">
        <f t="shared" si="163"/>
        <v/>
      </c>
      <c r="K140" s="52" t="str">
        <f t="shared" si="163"/>
        <v/>
      </c>
      <c r="L140" s="52" t="str">
        <f t="shared" si="163"/>
        <v/>
      </c>
      <c r="M140" s="52" t="str">
        <f t="shared" si="163"/>
        <v/>
      </c>
    </row>
    <row r="142" spans="3:13" ht="18" x14ac:dyDescent="0.35">
      <c r="C142" s="29" t="s">
        <v>633</v>
      </c>
    </row>
    <row r="144" spans="3:13" ht="15.6" x14ac:dyDescent="0.3">
      <c r="C144" s="33"/>
      <c r="D144" s="41" t="s">
        <v>600</v>
      </c>
      <c r="E144" s="41" t="s">
        <v>599</v>
      </c>
      <c r="F144" s="41" t="s">
        <v>604</v>
      </c>
      <c r="G144" s="4"/>
      <c r="H144" s="4"/>
    </row>
    <row r="145" spans="3:6" x14ac:dyDescent="0.3">
      <c r="C145" s="126" t="s">
        <v>601</v>
      </c>
      <c r="D145" s="204"/>
      <c r="E145" s="204"/>
      <c r="F145" s="86">
        <f>D145*E145/(1000*6.25)</f>
        <v>0</v>
      </c>
    </row>
    <row r="146" spans="3:6" x14ac:dyDescent="0.3">
      <c r="C146" s="126" t="s">
        <v>512</v>
      </c>
      <c r="D146" s="154"/>
      <c r="E146" s="154"/>
      <c r="F146" s="86">
        <f>D146*E146/(1000*6.25)</f>
        <v>0</v>
      </c>
    </row>
    <row r="147" spans="3:6" x14ac:dyDescent="0.3">
      <c r="C147" s="126" t="s">
        <v>513</v>
      </c>
      <c r="D147" s="205"/>
      <c r="E147" s="205"/>
      <c r="F147" s="86">
        <f>D147*E147/(1000*6.25)</f>
        <v>0</v>
      </c>
    </row>
    <row r="148" spans="3:6" x14ac:dyDescent="0.3">
      <c r="C148" s="126" t="s">
        <v>514</v>
      </c>
      <c r="D148" s="205"/>
      <c r="E148" s="205"/>
      <c r="F148" s="86">
        <f>D148*E148/(1000*6.25)</f>
        <v>0</v>
      </c>
    </row>
    <row r="149" spans="3:6" x14ac:dyDescent="0.3">
      <c r="C149" s="126" t="s">
        <v>602</v>
      </c>
      <c r="D149" s="205"/>
      <c r="E149" s="205"/>
      <c r="F149" s="86">
        <f t="shared" ref="F149:F150" si="164">D149*E149/(1000*6.25)</f>
        <v>0</v>
      </c>
    </row>
    <row r="150" spans="3:6" x14ac:dyDescent="0.3">
      <c r="C150" s="126" t="s">
        <v>603</v>
      </c>
      <c r="D150" s="205"/>
      <c r="E150" s="205"/>
      <c r="F150" s="86">
        <f t="shared" si="164"/>
        <v>0</v>
      </c>
    </row>
    <row r="151" spans="3:6" ht="15.6" x14ac:dyDescent="0.3">
      <c r="D151" s="41" t="s">
        <v>606</v>
      </c>
      <c r="E151" s="159" t="str">
        <f>IF(D10=6,(SUM(F145:F150)/G111)*100,IF(D10=5,(SUM(F145:F149)/G111)*100,IF(D10=4,(SUM(F145:F148)/G111)*100,IF(D10=3,(SUM(F145:F147)/G111)*100,IF(D10=2,(SUM(F145:F146)/G111)*100,IF(D10=1,(F145/G111)*100,"Error"))))))</f>
        <v>Error</v>
      </c>
      <c r="F151" s="160" t="s">
        <v>610</v>
      </c>
    </row>
    <row r="152" spans="3:6" ht="15.6" x14ac:dyDescent="0.3">
      <c r="D152" s="41" t="s">
        <v>607</v>
      </c>
      <c r="E152" s="159" t="str">
        <f>IF(D10=6,(SUM(F145:F150)/S111)*100,IF(D10=5,(SUM(F145:F149)/S111)*100,IF(D10=4,(SUM(F145:F148)/S111)*100,IF(D10=3,(SUM(F145:F147)/S111)*100,IF(D10=2,(SUM(F145:F146)/S111)*100,IF(D10=1,(F145/S111)*100,"Error"))))))</f>
        <v>Error</v>
      </c>
      <c r="F152" s="160" t="s">
        <v>610</v>
      </c>
    </row>
  </sheetData>
  <sheetProtection algorithmName="SHA-512" hashValue="VTzqQsok1ovziBB8KUZVQl7SBMx1CuRfr3IYSdg1OIMitMV2o2bCGl7CugX2g67FTp5uZaH4F9KV0LUeILcAgQ==" saltValue="VrOxqcNdV6I4Uflid1sdCw==" spinCount="100000" sheet="1" objects="1" scenarios="1" selectLockedCells="1"/>
  <mergeCells count="8">
    <mergeCell ref="E123:M123"/>
    <mergeCell ref="E124:M124"/>
    <mergeCell ref="N2:O2"/>
    <mergeCell ref="P2:R2"/>
    <mergeCell ref="U33:Z33"/>
    <mergeCell ref="N43:Q43"/>
    <mergeCell ref="E121:M121"/>
    <mergeCell ref="E122:M122"/>
  </mergeCells>
  <conditionalFormatting sqref="A95:A100">
    <cfRule type="expression" dxfId="175" priority="13">
      <formula>$D$10&lt;5</formula>
    </cfRule>
  </conditionalFormatting>
  <conditionalFormatting sqref="A103:A108">
    <cfRule type="expression" dxfId="174" priority="14">
      <formula>$D$10&lt;6</formula>
    </cfRule>
  </conditionalFormatting>
  <conditionalFormatting sqref="A71:D76">
    <cfRule type="expression" dxfId="173" priority="10">
      <formula>$D$10&lt;2</formula>
    </cfRule>
  </conditionalFormatting>
  <conditionalFormatting sqref="A79:D84">
    <cfRule type="expression" dxfId="172" priority="11">
      <formula>$D$10&lt;3</formula>
    </cfRule>
  </conditionalFormatting>
  <conditionalFormatting sqref="A87:D92">
    <cfRule type="expression" dxfId="171" priority="12">
      <formula>$D$10&lt;4</formula>
    </cfRule>
  </conditionalFormatting>
  <conditionalFormatting sqref="C34:C41">
    <cfRule type="notContainsBlanks" dxfId="170" priority="88">
      <formula>LEN(TRIM(C34))&gt;0</formula>
    </cfRule>
  </conditionalFormatting>
  <conditionalFormatting sqref="C11:D11">
    <cfRule type="expression" dxfId="169" priority="77">
      <formula>$D$5="Maaien"</formula>
    </cfRule>
  </conditionalFormatting>
  <conditionalFormatting sqref="C95:D100">
    <cfRule type="expression" dxfId="168" priority="15">
      <formula>$D$10&lt;5</formula>
    </cfRule>
  </conditionalFormatting>
  <conditionalFormatting sqref="C103:D108">
    <cfRule type="expression" dxfId="167" priority="16">
      <formula>$D$10&lt;6</formula>
    </cfRule>
  </conditionalFormatting>
  <conditionalFormatting sqref="C117:F118">
    <cfRule type="cellIs" dxfId="166" priority="84" operator="equal">
      <formula>0</formula>
    </cfRule>
  </conditionalFormatting>
  <conditionalFormatting sqref="C145:F145">
    <cfRule type="expression" dxfId="165" priority="17">
      <formula>$D$10=1</formula>
    </cfRule>
  </conditionalFormatting>
  <conditionalFormatting sqref="C146:F146">
    <cfRule type="expression" dxfId="164" priority="18">
      <formula>$D$10&lt;2</formula>
    </cfRule>
    <cfRule type="expression" dxfId="163" priority="19">
      <formula>$D$10=2</formula>
    </cfRule>
  </conditionalFormatting>
  <conditionalFormatting sqref="C147:F147">
    <cfRule type="expression" dxfId="162" priority="20">
      <formula>$D$10&lt;3</formula>
    </cfRule>
    <cfRule type="expression" dxfId="161" priority="21">
      <formula>$D$10=3</formula>
    </cfRule>
  </conditionalFormatting>
  <conditionalFormatting sqref="C148:F148">
    <cfRule type="expression" dxfId="160" priority="22">
      <formula>$D$10&lt;4</formula>
    </cfRule>
    <cfRule type="expression" dxfId="159" priority="23">
      <formula>$D$10=4</formula>
    </cfRule>
  </conditionalFormatting>
  <conditionalFormatting sqref="C149:F149">
    <cfRule type="expression" dxfId="158" priority="25">
      <formula>$D$10=5</formula>
    </cfRule>
    <cfRule type="expression" dxfId="157" priority="24">
      <formula>$D$10&lt;5</formula>
    </cfRule>
  </conditionalFormatting>
  <conditionalFormatting sqref="C150:F150">
    <cfRule type="expression" dxfId="156" priority="26">
      <formula>$D$10&lt;6</formula>
    </cfRule>
  </conditionalFormatting>
  <conditionalFormatting sqref="C53:L53">
    <cfRule type="expression" dxfId="155" priority="51">
      <formula>$D$53="kg"</formula>
    </cfRule>
    <cfRule type="expression" dxfId="154" priority="44">
      <formula>$D$5="Maaien"</formula>
    </cfRule>
  </conditionalFormatting>
  <conditionalFormatting sqref="C53:L58 N53:Q58">
    <cfRule type="expression" dxfId="153" priority="45">
      <formula>$D$5="Maaien"</formula>
    </cfRule>
  </conditionalFormatting>
  <conditionalFormatting sqref="C54:L54">
    <cfRule type="expression" dxfId="152" priority="50">
      <formula>$D$54="kg"</formula>
    </cfRule>
  </conditionalFormatting>
  <conditionalFormatting sqref="C55:L55">
    <cfRule type="expression" dxfId="151" priority="49">
      <formula>$D$55="kg"</formula>
    </cfRule>
  </conditionalFormatting>
  <conditionalFormatting sqref="C56:L56">
    <cfRule type="expression" dxfId="150" priority="48">
      <formula>$D$56="kg"</formula>
    </cfRule>
  </conditionalFormatting>
  <conditionalFormatting sqref="C57:M57">
    <cfRule type="expression" dxfId="149" priority="47">
      <formula>$D$57="kg"</formula>
    </cfRule>
  </conditionalFormatting>
  <conditionalFormatting sqref="C58:M58">
    <cfRule type="expression" dxfId="148" priority="46">
      <formula>$D$58="kg"</formula>
    </cfRule>
  </conditionalFormatting>
  <conditionalFormatting sqref="D151:F151">
    <cfRule type="expression" dxfId="147" priority="9">
      <formula>$D$10&gt;0</formula>
    </cfRule>
  </conditionalFormatting>
  <conditionalFormatting sqref="D36:J36">
    <cfRule type="expression" dxfId="146" priority="52">
      <formula>$B$36=""</formula>
    </cfRule>
    <cfRule type="expression" dxfId="145" priority="61">
      <formula>$B$36="Per snede"</formula>
    </cfRule>
  </conditionalFormatting>
  <conditionalFormatting sqref="D37:J37">
    <cfRule type="expression" dxfId="144" priority="53">
      <formula>$B$37=""</formula>
    </cfRule>
    <cfRule type="expression" dxfId="143" priority="60">
      <formula>$B$37="Per snede"</formula>
    </cfRule>
  </conditionalFormatting>
  <conditionalFormatting sqref="D38:J38">
    <cfRule type="expression" dxfId="142" priority="59">
      <formula>$B$38="Per snede"</formula>
    </cfRule>
    <cfRule type="expression" dxfId="141" priority="54">
      <formula>$B$38=""</formula>
    </cfRule>
  </conditionalFormatting>
  <conditionalFormatting sqref="D39:J39">
    <cfRule type="expression" dxfId="140" priority="55">
      <formula>$B$39=""</formula>
    </cfRule>
    <cfRule type="expression" dxfId="139" priority="58">
      <formula>$B$39="Per snede"</formula>
    </cfRule>
  </conditionalFormatting>
  <conditionalFormatting sqref="D40:J40">
    <cfRule type="expression" dxfId="138" priority="57">
      <formula>$B$40="Per snede"</formula>
    </cfRule>
    <cfRule type="expression" dxfId="137" priority="56">
      <formula>$B$40=""</formula>
    </cfRule>
  </conditionalFormatting>
  <conditionalFormatting sqref="E120:E122">
    <cfRule type="cellIs" dxfId="136" priority="28" operator="equal">
      <formula>FALSE</formula>
    </cfRule>
  </conditionalFormatting>
  <conditionalFormatting sqref="E45:L52">
    <cfRule type="cellIs" dxfId="135" priority="87" operator="equal">
      <formula>0</formula>
    </cfRule>
  </conditionalFormatting>
  <conditionalFormatting sqref="F111">
    <cfRule type="cellIs" dxfId="134" priority="33" operator="between">
      <formula>170</formula>
      <formula>255</formula>
    </cfRule>
    <cfRule type="cellIs" dxfId="133" priority="32" operator="greaterThan">
      <formula>255</formula>
    </cfRule>
  </conditionalFormatting>
  <conditionalFormatting sqref="F63:M68 F71:M76 F79:M84 F87:M92 F95:M100 F103:M108">
    <cfRule type="cellIs" dxfId="132" priority="85" operator="equal">
      <formula>0</formula>
    </cfRule>
  </conditionalFormatting>
  <conditionalFormatting sqref="F111:M111 O111">
    <cfRule type="cellIs" dxfId="131" priority="86" operator="equal">
      <formula>0</formula>
    </cfRule>
  </conditionalFormatting>
  <conditionalFormatting sqref="G102">
    <cfRule type="cellIs" dxfId="130" priority="29" operator="equal">
      <formula>0</formula>
    </cfRule>
  </conditionalFormatting>
  <conditionalFormatting sqref="G111">
    <cfRule type="expression" dxfId="129" priority="7">
      <formula>$G$111&gt;$D$16*1.25</formula>
    </cfRule>
    <cfRule type="expression" dxfId="128" priority="31">
      <formula>$G$111&gt;$D$16</formula>
    </cfRule>
  </conditionalFormatting>
  <conditionalFormatting sqref="G2:M9">
    <cfRule type="expression" dxfId="127" priority="30">
      <formula>$D$5=""</formula>
    </cfRule>
  </conditionalFormatting>
  <conditionalFormatting sqref="G2:S9">
    <cfRule type="expression" dxfId="126" priority="69">
      <formula>$D$5="Maaien"</formula>
    </cfRule>
  </conditionalFormatting>
  <conditionalFormatting sqref="G3:S3">
    <cfRule type="expression" dxfId="125" priority="68">
      <formula>$D$5="Maaien + grazen"</formula>
    </cfRule>
  </conditionalFormatting>
  <conditionalFormatting sqref="G4:S4">
    <cfRule type="expression" dxfId="124" priority="67">
      <formula>$G$4=1</formula>
    </cfRule>
  </conditionalFormatting>
  <conditionalFormatting sqref="G4:S9">
    <cfRule type="expression" dxfId="123" priority="43">
      <formula>$D$5="Maaien"</formula>
    </cfRule>
  </conditionalFormatting>
  <conditionalFormatting sqref="G5:S5">
    <cfRule type="expression" dxfId="122" priority="66">
      <formula>$G$5=2</formula>
    </cfRule>
  </conditionalFormatting>
  <conditionalFormatting sqref="G6:S6">
    <cfRule type="expression" dxfId="121" priority="65">
      <formula>$G$6=3</formula>
    </cfRule>
  </conditionalFormatting>
  <conditionalFormatting sqref="G7:S7">
    <cfRule type="expression" dxfId="120" priority="64">
      <formula>$G$7=4</formula>
    </cfRule>
  </conditionalFormatting>
  <conditionalFormatting sqref="G8:S8">
    <cfRule type="expression" dxfId="119" priority="63">
      <formula>$G$8=5</formula>
    </cfRule>
  </conditionalFormatting>
  <conditionalFormatting sqref="G9:S9">
    <cfRule type="expression" dxfId="118" priority="62">
      <formula>$G$9=6</formula>
    </cfRule>
  </conditionalFormatting>
  <conditionalFormatting sqref="H4 J4:M4">
    <cfRule type="expression" dxfId="117" priority="78">
      <formula>$G$4=1</formula>
    </cfRule>
  </conditionalFormatting>
  <conditionalFormatting sqref="H5 J5:M5">
    <cfRule type="expression" dxfId="116" priority="83">
      <formula>$G$5=2</formula>
    </cfRule>
  </conditionalFormatting>
  <conditionalFormatting sqref="H6 J6:M6">
    <cfRule type="expression" dxfId="115" priority="82">
      <formula>$G$6=3</formula>
    </cfRule>
  </conditionalFormatting>
  <conditionalFormatting sqref="H7 J7:M7">
    <cfRule type="expression" dxfId="114" priority="81">
      <formula>$G$7=4</formula>
    </cfRule>
  </conditionalFormatting>
  <conditionalFormatting sqref="H8 J8:M8">
    <cfRule type="expression" dxfId="113" priority="80">
      <formula>$G$8=5</formula>
    </cfRule>
  </conditionalFormatting>
  <conditionalFormatting sqref="H9 J9:M9">
    <cfRule type="expression" dxfId="112" priority="79">
      <formula>$G$9=6</formula>
    </cfRule>
  </conditionalFormatting>
  <conditionalFormatting sqref="H111">
    <cfRule type="expression" dxfId="111" priority="8">
      <formula>$H$111&gt;$E$16</formula>
    </cfRule>
  </conditionalFormatting>
  <conditionalFormatting sqref="H4:S4">
    <cfRule type="expression" dxfId="110" priority="75">
      <formula>$G$4=""</formula>
    </cfRule>
  </conditionalFormatting>
  <conditionalFormatting sqref="H5:S5">
    <cfRule type="expression" dxfId="109" priority="70">
      <formula>$G$5=""</formula>
    </cfRule>
  </conditionalFormatting>
  <conditionalFormatting sqref="H6:S6">
    <cfRule type="expression" dxfId="108" priority="71">
      <formula>$G$6=""</formula>
    </cfRule>
  </conditionalFormatting>
  <conditionalFormatting sqref="H7:S7">
    <cfRule type="expression" dxfId="107" priority="72">
      <formula>$G$7=""</formula>
    </cfRule>
  </conditionalFormatting>
  <conditionalFormatting sqref="H8:S8">
    <cfRule type="expression" dxfId="106" priority="73">
      <formula>$G$8=""</formula>
    </cfRule>
  </conditionalFormatting>
  <conditionalFormatting sqref="H9:S9">
    <cfRule type="expression" dxfId="105" priority="74">
      <formula>$G$9=""</formula>
    </cfRule>
  </conditionalFormatting>
  <conditionalFormatting sqref="I4">
    <cfRule type="expression" dxfId="104" priority="1">
      <formula>$H$4="Melkkoeien"</formula>
    </cfRule>
  </conditionalFormatting>
  <conditionalFormatting sqref="I5">
    <cfRule type="expression" dxfId="103" priority="2">
      <formula>$H$5="Melkkoeien"</formula>
    </cfRule>
  </conditionalFormatting>
  <conditionalFormatting sqref="I6">
    <cfRule type="expression" dxfId="102" priority="3">
      <formula>$H$6="Melkkoeien"</formula>
    </cfRule>
  </conditionalFormatting>
  <conditionalFormatting sqref="I7">
    <cfRule type="expression" dxfId="101" priority="4">
      <formula>$H$7="Melkkoeien"</formula>
    </cfRule>
  </conditionalFormatting>
  <conditionalFormatting sqref="I8">
    <cfRule type="expression" dxfId="100" priority="5">
      <formula>$H$8="Melkkoeien"</formula>
    </cfRule>
  </conditionalFormatting>
  <conditionalFormatting sqref="I9">
    <cfRule type="expression" dxfId="99" priority="6">
      <formula>$H$9="Melkkoeien"</formula>
    </cfRule>
  </conditionalFormatting>
  <conditionalFormatting sqref="K5:L6">
    <cfRule type="expression" dxfId="98" priority="27">
      <formula>$G$4=""</formula>
    </cfRule>
  </conditionalFormatting>
  <conditionalFormatting sqref="M45:M55">
    <cfRule type="cellIs" dxfId="97" priority="42" operator="equal">
      <formula>0</formula>
    </cfRule>
  </conditionalFormatting>
  <conditionalFormatting sqref="M53">
    <cfRule type="expression" dxfId="96" priority="39">
      <formula>$C$53="Begrazingsnede 1"</formula>
    </cfRule>
  </conditionalFormatting>
  <conditionalFormatting sqref="M54">
    <cfRule type="expression" dxfId="95" priority="38">
      <formula>$C$54="Begrazingsnede 2"</formula>
    </cfRule>
  </conditionalFormatting>
  <conditionalFormatting sqref="M55">
    <cfRule type="expression" dxfId="94" priority="37">
      <formula>$C$55="Begrazingsnede 3"</formula>
    </cfRule>
  </conditionalFormatting>
  <conditionalFormatting sqref="M56">
    <cfRule type="expression" dxfId="93" priority="41">
      <formula>$D$56="kg"</formula>
    </cfRule>
    <cfRule type="expression" dxfId="92" priority="36">
      <formula>$C$56="Begrazingsnede 4"</formula>
    </cfRule>
  </conditionalFormatting>
  <conditionalFormatting sqref="M56:M58">
    <cfRule type="expression" dxfId="91" priority="40">
      <formula>$D$5="Maaien"</formula>
    </cfRule>
  </conditionalFormatting>
  <conditionalFormatting sqref="M57">
    <cfRule type="expression" dxfId="90" priority="35">
      <formula>$C$57="Begrazingsnede 5"</formula>
    </cfRule>
  </conditionalFormatting>
  <conditionalFormatting sqref="M58">
    <cfRule type="expression" dxfId="89" priority="34">
      <formula>$C$58="Begrazingsnede 6"</formula>
    </cfRule>
  </conditionalFormatting>
  <conditionalFormatting sqref="N45:Q52">
    <cfRule type="cellIs" dxfId="88" priority="76" operator="equal">
      <formula>0</formula>
    </cfRule>
  </conditionalFormatting>
  <dataValidations count="9">
    <dataValidation type="list" allowBlank="1" showInputMessage="1" showErrorMessage="1" sqref="C71:C76 C63:C68 C79:C84 C87:C92 C95:C100 C103:C108" xr:uid="{67728663-18FF-4558-927E-B828355C7AB5}">
      <formula1>$C$45:$C$58</formula1>
    </dataValidation>
    <dataValidation type="list" allowBlank="1" showInputMessage="1" showErrorMessage="1" sqref="D7" xr:uid="{77E98871-23A0-44CB-A0A0-F9741BAA59F4}">
      <formula1>"Ja,Nee"</formula1>
    </dataValidation>
    <dataValidation type="list" allowBlank="1" showInputMessage="1" showErrorMessage="1" sqref="H4:H9" xr:uid="{055C2CCB-F944-42A4-BC72-029A91279F5F}">
      <formula1>Diercategorie</formula1>
    </dataValidation>
    <dataValidation type="list" allowBlank="1" showInputMessage="1" showErrorMessage="1" sqref="I4" xr:uid="{01223675-6B43-4087-8B97-8EBA1CC12C75}">
      <formula1>INDIRECT($H$4)</formula1>
    </dataValidation>
    <dataValidation type="list" allowBlank="1" showInputMessage="1" showErrorMessage="1" sqref="I5" xr:uid="{BC0626F2-9788-4639-8EF7-07399F8B6C85}">
      <formula1>INDIRECT($H$5)</formula1>
    </dataValidation>
    <dataValidation type="list" allowBlank="1" showInputMessage="1" showErrorMessage="1" sqref="I6" xr:uid="{83FCDA9E-8BFB-4B61-A97F-BA0D18F99CB4}">
      <formula1>INDIRECT($H$6)</formula1>
    </dataValidation>
    <dataValidation type="list" allowBlank="1" showInputMessage="1" showErrorMessage="1" sqref="I7" xr:uid="{894117B5-4F35-4DA9-950A-7846D1E2C893}">
      <formula1>INDIRECT($H$7)</formula1>
    </dataValidation>
    <dataValidation type="list" allowBlank="1" showInputMessage="1" showErrorMessage="1" sqref="I8" xr:uid="{CBAA09A8-06B5-45F1-8AD3-5691EC0CAC53}">
      <formula1>INDIRECT($H$8)</formula1>
    </dataValidation>
    <dataValidation type="list" allowBlank="1" showInputMessage="1" showErrorMessage="1" sqref="I9" xr:uid="{A0214AA2-F580-4182-AE5C-51066A76F118}">
      <formula1>INDIRECT($H$9)</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4195BCC0-2A0C-4FC9-BDFA-B123CD4B0BF9}">
          <x14:formula1>
            <xm:f>'Lijsten en tabellen'!$AP$3:$AP$4</xm:f>
          </x14:formula1>
          <xm:sqref>C20</xm:sqref>
        </x14:dataValidation>
        <x14:dataValidation type="list" allowBlank="1" showInputMessage="1" showErrorMessage="1" xr:uid="{2543069C-8207-442C-B157-EF97E6B213AF}">
          <x14:formula1>
            <xm:f>'Lijsten en tabellen'!$S$3:$V$3</xm:f>
          </x14:formula1>
          <xm:sqref>D8</xm:sqref>
        </x14:dataValidation>
        <x14:dataValidation type="list" allowBlank="1" showInputMessage="1" showErrorMessage="1" xr:uid="{E94A3653-1CC6-4A85-84AD-51CFADEFA961}">
          <x14:formula1>
            <xm:f>'Lijsten en tabellen'!$D$4:$K$4</xm:f>
          </x14:formula1>
          <xm:sqref>D3</xm:sqref>
        </x14:dataValidation>
        <x14:dataValidation type="list" allowBlank="1" showInputMessage="1" showErrorMessage="1" xr:uid="{C52C2322-1B17-4D91-A5FF-D4093D2380BD}">
          <x14:formula1>
            <xm:f>'Lijsten en tabellen'!$D$3:$K$3</xm:f>
          </x14:formula1>
          <xm:sqref>D6</xm:sqref>
        </x14:dataValidation>
        <x14:dataValidation type="list" allowBlank="1" showInputMessage="1" showErrorMessage="1" xr:uid="{DA6EF535-4AB6-4C34-8A85-0BAF81C5BDD5}">
          <x14:formula1>
            <xm:f>'Lijsten en tabellen'!$B$6:$B$7</xm:f>
          </x14:formula1>
          <xm:sqref>D5</xm:sqref>
        </x14:dataValidation>
        <x14:dataValidation type="list" allowBlank="1" showInputMessage="1" showErrorMessage="1" xr:uid="{EE9C0257-E275-46E8-8BD4-98E5B4D955BB}">
          <x14:formula1>
            <xm:f>'Lijsten en tabellen'!$X$3:$X$23</xm:f>
          </x14:formula1>
          <xm:sqref>D4</xm:sqref>
        </x14:dataValidation>
        <x14:dataValidation type="list" allowBlank="1" showInputMessage="1" showErrorMessage="1" xr:uid="{8349606D-DF65-42F2-B5A6-C3EBF1D773B5}">
          <x14:formula1>
            <xm:f>'Lijsten en tabellen'!$AO$3:$AO$8</xm:f>
          </x14:formula1>
          <xm:sqref>D10</xm:sqref>
        </x14:dataValidation>
        <x14:dataValidation type="list" allowBlank="1" showInputMessage="1" showErrorMessage="1" xr:uid="{4EBEB7F8-2BDB-4BF0-AC34-2B42F8BE3440}">
          <x14:formula1>
            <xm:f>'Lijsten en tabellen'!$AQ$3:$AQ$9</xm:f>
          </x14:formula1>
          <xm:sqref>D11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604BB-A932-4941-9107-D4F37B737D06}">
  <dimension ref="A1:AL152"/>
  <sheetViews>
    <sheetView zoomScale="60" zoomScaleNormal="60" workbookViewId="0">
      <selection activeCell="D2" sqref="D2"/>
    </sheetView>
  </sheetViews>
  <sheetFormatPr defaultRowHeight="14.4" x14ac:dyDescent="0.3"/>
  <cols>
    <col min="1" max="1" width="17.5546875" customWidth="1"/>
    <col min="2" max="2" width="11.5546875" hidden="1" customWidth="1"/>
    <col min="3" max="3" width="27.33203125" customWidth="1"/>
    <col min="4" max="5" width="26.5546875" customWidth="1"/>
    <col min="6" max="6" width="19.44140625" customWidth="1"/>
    <col min="7" max="7" width="22.33203125" customWidth="1"/>
    <col min="8" max="8" width="23.21875" customWidth="1"/>
    <col min="9" max="9" width="23.33203125" customWidth="1"/>
    <col min="10" max="10" width="21.21875" customWidth="1"/>
    <col min="11" max="12" width="19.6640625" customWidth="1"/>
    <col min="13" max="13" width="20" customWidth="1"/>
    <col min="14" max="14" width="18.33203125" hidden="1" customWidth="1"/>
    <col min="15" max="15" width="19.33203125" hidden="1" customWidth="1"/>
    <col min="16" max="16" width="14" hidden="1" customWidth="1"/>
    <col min="17" max="17" width="13.109375" hidden="1" customWidth="1"/>
    <col min="18" max="19" width="14" hidden="1" customWidth="1"/>
    <col min="20" max="20" width="18.6640625" customWidth="1"/>
    <col min="21" max="21" width="27.21875" customWidth="1"/>
    <col min="22" max="22" width="35.44140625" customWidth="1"/>
    <col min="23" max="23" width="31.5546875" customWidth="1"/>
    <col min="24" max="24" width="31.33203125" customWidth="1"/>
    <col min="25" max="25" width="45.44140625" customWidth="1"/>
    <col min="26" max="26" width="20.6640625" customWidth="1"/>
    <col min="28" max="28" width="8.88671875" customWidth="1"/>
  </cols>
  <sheetData>
    <row r="1" spans="2:19" ht="18.600000000000001" thickBot="1" x14ac:dyDescent="0.4">
      <c r="C1" s="29" t="s">
        <v>441</v>
      </c>
      <c r="L1" s="42"/>
    </row>
    <row r="2" spans="2:19" ht="18" x14ac:dyDescent="0.35">
      <c r="C2" s="100" t="s">
        <v>440</v>
      </c>
      <c r="D2" s="185"/>
      <c r="E2" s="147"/>
      <c r="G2" s="29" t="s">
        <v>548</v>
      </c>
      <c r="N2" s="213" t="s">
        <v>593</v>
      </c>
      <c r="O2" s="213"/>
      <c r="P2" s="213" t="s">
        <v>553</v>
      </c>
      <c r="Q2" s="213"/>
      <c r="R2" s="213"/>
      <c r="S2" s="124"/>
    </row>
    <row r="3" spans="2:19" x14ac:dyDescent="0.3">
      <c r="C3" s="101" t="s">
        <v>406</v>
      </c>
      <c r="D3" s="186"/>
      <c r="E3" s="147"/>
      <c r="G3" s="84" t="s">
        <v>549</v>
      </c>
      <c r="H3" s="84" t="s">
        <v>555</v>
      </c>
      <c r="I3" s="84" t="s">
        <v>557</v>
      </c>
      <c r="J3" s="84" t="s">
        <v>550</v>
      </c>
      <c r="K3" s="84" t="s">
        <v>551</v>
      </c>
      <c r="L3" s="84" t="s">
        <v>552</v>
      </c>
      <c r="M3" s="84" t="s">
        <v>596</v>
      </c>
      <c r="N3" s="84" t="s">
        <v>471</v>
      </c>
      <c r="O3" s="84" t="s">
        <v>511</v>
      </c>
      <c r="P3" s="84" t="s">
        <v>471</v>
      </c>
      <c r="Q3" s="84" t="s">
        <v>472</v>
      </c>
      <c r="R3" s="84" t="s">
        <v>511</v>
      </c>
      <c r="S3" s="84"/>
    </row>
    <row r="4" spans="2:19" x14ac:dyDescent="0.3">
      <c r="B4" s="32" t="str">
        <f>IF(D4="Graskruiden mengsel","Ja","Nee")</f>
        <v>Nee</v>
      </c>
      <c r="C4" s="101" t="s">
        <v>403</v>
      </c>
      <c r="D4" s="186"/>
      <c r="E4" s="148" t="e">
        <f>VLOOKUP(D4,'Lijsten en tabellen'!X2:Z23,3,FALSE)</f>
        <v>#N/A</v>
      </c>
      <c r="F4" s="32"/>
      <c r="G4" t="str">
        <f>IFERROR(IF($D$11&gt;0,1,""),"")</f>
        <v/>
      </c>
      <c r="H4" s="189"/>
      <c r="I4" s="189"/>
      <c r="J4" s="189"/>
      <c r="K4" s="190"/>
      <c r="L4" s="190"/>
      <c r="M4" s="189"/>
      <c r="N4" t="str">
        <f>IFERROR(IF( H4="Melkkoeien", VLOOKUP(_xlfn.CONCAT(H4,I4),'Lijsten en tabellen'!$AK$3:$AM$35,3,FALSE),VLOOKUP(H4,'Lijsten en tabellen'!$AK$2:$AM$35,3,FALSE)),"")</f>
        <v/>
      </c>
      <c r="O4" t="str">
        <f>IFERROR(IF( H4="Melkkoeien", VLOOKUP(_xlfn.CONCAT(H4,I4),'Lijsten en tabellen'!$AK$3:$AM$35,2,FALSE),VLOOKUP(H4,'Lijsten en tabellen'!$AK$2:$AM$35,2,FALSE)),"")</f>
        <v/>
      </c>
      <c r="P4" s="78" t="str">
        <f t="shared" ref="P4:P9" si="0">IFERROR(J4*(L4-K4)*(M4/24)*(N4/365),"")</f>
        <v/>
      </c>
      <c r="Q4" s="78" t="str">
        <f>IFERROR(P4*0.2,"")</f>
        <v/>
      </c>
      <c r="R4" s="78" t="str">
        <f t="shared" ref="R4:R9" si="1">IFERROR(J4*(L4-K4)*(M4/24)*(O4/365),"")</f>
        <v/>
      </c>
      <c r="S4" s="78"/>
    </row>
    <row r="5" spans="2:19" x14ac:dyDescent="0.3">
      <c r="C5" s="101" t="s">
        <v>404</v>
      </c>
      <c r="D5" s="186"/>
      <c r="E5" s="148" t="e">
        <f>VLOOKUP(D4,'Lijsten en tabellen'!X2:AA23,4,FALSE)</f>
        <v>#N/A</v>
      </c>
      <c r="G5" t="str">
        <f>IFERROR(IF($D$11&gt;1,2,""),"")</f>
        <v/>
      </c>
      <c r="H5" s="189"/>
      <c r="I5" s="189"/>
      <c r="J5" s="189"/>
      <c r="K5" s="190"/>
      <c r="L5" s="190"/>
      <c r="M5" s="189"/>
      <c r="N5" t="str">
        <f>IFERROR(IF( H5="Melkkoeien", VLOOKUP(_xlfn.CONCAT(H5,I5),'Lijsten en tabellen'!$AK$3:$AM$35,3,FALSE),VLOOKUP(H5,'Lijsten en tabellen'!$AK$2:$AM$35,3,FALSE)),"")</f>
        <v/>
      </c>
      <c r="O5" t="str">
        <f>IFERROR(IF( H5="Melkkoeien", VLOOKUP(_xlfn.CONCAT(H5,I5),'Lijsten en tabellen'!$AK$3:$AM$35,2,FALSE),VLOOKUP(H5,'Lijsten en tabellen'!$AK$2:$AM$35,2,FALSE)),"")</f>
        <v/>
      </c>
      <c r="P5" s="78" t="str">
        <f t="shared" si="0"/>
        <v/>
      </c>
      <c r="Q5" s="78" t="str">
        <f t="shared" ref="Q5:Q9" si="2">IFERROR(P5*0.2,"")</f>
        <v/>
      </c>
      <c r="R5" s="78" t="str">
        <f t="shared" si="1"/>
        <v/>
      </c>
      <c r="S5" s="78"/>
    </row>
    <row r="6" spans="2:19" x14ac:dyDescent="0.3">
      <c r="C6" s="101" t="s">
        <v>405</v>
      </c>
      <c r="D6" s="187"/>
      <c r="E6" s="148" t="e">
        <f>_xlfn.CONCAT(D6,D3,D5,E4)</f>
        <v>#N/A</v>
      </c>
      <c r="G6" t="str">
        <f>IFERROR(IF($D$11&gt;2,3,""),"")</f>
        <v/>
      </c>
      <c r="H6" s="189"/>
      <c r="I6" s="189"/>
      <c r="J6" s="189"/>
      <c r="K6" s="189"/>
      <c r="L6" s="189"/>
      <c r="M6" s="189"/>
      <c r="N6" t="str">
        <f>IFERROR(IF( H6="Melkkoeien", VLOOKUP(_xlfn.CONCAT(H6,I6),'Lijsten en tabellen'!$AK$3:$AM$35,3,FALSE),VLOOKUP(H6,'Lijsten en tabellen'!$AK$2:$AM$35,3,FALSE)),"")</f>
        <v/>
      </c>
      <c r="O6" t="str">
        <f>IFERROR(IF( H6="Melkkoeien", VLOOKUP(_xlfn.CONCAT(H6,I6),'Lijsten en tabellen'!$AK$3:$AM$35,2,FALSE),VLOOKUP(H6,'Lijsten en tabellen'!$AK$2:$AM$35,2,FALSE)),"")</f>
        <v/>
      </c>
      <c r="P6" s="78" t="str">
        <f t="shared" si="0"/>
        <v/>
      </c>
      <c r="Q6" s="78" t="str">
        <f t="shared" si="2"/>
        <v/>
      </c>
      <c r="R6" s="78" t="str">
        <f t="shared" si="1"/>
        <v/>
      </c>
      <c r="S6" s="78"/>
    </row>
    <row r="7" spans="2:19" ht="28.8" x14ac:dyDescent="0.3">
      <c r="C7" s="102" t="s">
        <v>635</v>
      </c>
      <c r="D7" s="187"/>
      <c r="E7" s="147"/>
      <c r="G7" t="str">
        <f>IFERROR(IF($D$11&gt;3,4,""),"")</f>
        <v/>
      </c>
      <c r="H7" s="189"/>
      <c r="I7" s="189"/>
      <c r="J7" s="189"/>
      <c r="K7" s="190"/>
      <c r="L7" s="190"/>
      <c r="M7" s="189"/>
      <c r="N7" t="str">
        <f>IFERROR(IF( H7="Melkkoeien", VLOOKUP(_xlfn.CONCAT(H7,I7),'Lijsten en tabellen'!$AK$3:$AM$35,3,FALSE),VLOOKUP(H7,'Lijsten en tabellen'!$AK$2:$AM$35,3,FALSE)),"")</f>
        <v/>
      </c>
      <c r="O7" t="str">
        <f>IFERROR(IF( H7="Melkkoeien", VLOOKUP(_xlfn.CONCAT(H7,I7),'Lijsten en tabellen'!$AK$3:$AM$35,2,FALSE),VLOOKUP(H7,'Lijsten en tabellen'!$AK$2:$AM$35,2,FALSE)),"")</f>
        <v/>
      </c>
      <c r="P7" s="78" t="str">
        <f t="shared" si="0"/>
        <v/>
      </c>
      <c r="Q7" s="78" t="str">
        <f t="shared" si="2"/>
        <v/>
      </c>
      <c r="R7" s="78" t="str">
        <f t="shared" si="1"/>
        <v/>
      </c>
      <c r="S7" s="78"/>
    </row>
    <row r="8" spans="2:19" x14ac:dyDescent="0.3">
      <c r="C8" s="101" t="s">
        <v>408</v>
      </c>
      <c r="D8" s="186"/>
      <c r="E8" s="147"/>
      <c r="G8" t="str">
        <f>IFERROR(IF($D$11&gt;4,5,""),"")</f>
        <v/>
      </c>
      <c r="H8" s="189"/>
      <c r="I8" s="189"/>
      <c r="J8" s="189"/>
      <c r="K8" s="190"/>
      <c r="L8" s="190"/>
      <c r="M8" s="189"/>
      <c r="N8" t="str">
        <f>IFERROR(IF( H8="Melkkoeien", VLOOKUP(_xlfn.CONCAT(H8,I8),'Lijsten en tabellen'!$AK$3:$AM$35,3,FALSE),VLOOKUP(H8,'Lijsten en tabellen'!$AK$2:$AM$35,3,FALSE)),"")</f>
        <v/>
      </c>
      <c r="O8" t="str">
        <f>IFERROR(IF( H8="Melkkoeien", VLOOKUP(_xlfn.CONCAT(H8,I8),'Lijsten en tabellen'!$AK$3:$AM$35,2,FALSE),VLOOKUP(H8,'Lijsten en tabellen'!$AK$2:$AM$35,2,FALSE)),"")</f>
        <v/>
      </c>
      <c r="P8" s="78" t="str">
        <f t="shared" si="0"/>
        <v/>
      </c>
      <c r="Q8" s="78" t="str">
        <f t="shared" si="2"/>
        <v/>
      </c>
      <c r="R8" s="78" t="str">
        <f t="shared" si="1"/>
        <v/>
      </c>
      <c r="S8" s="78"/>
    </row>
    <row r="9" spans="2:19" x14ac:dyDescent="0.3">
      <c r="C9" s="101" t="s">
        <v>439</v>
      </c>
      <c r="D9" s="186"/>
      <c r="E9" s="147"/>
      <c r="G9" t="str">
        <f>IFERROR(IF($D$11&gt;5,6,""),"")</f>
        <v/>
      </c>
      <c r="H9" s="189"/>
      <c r="I9" s="189"/>
      <c r="J9" s="189"/>
      <c r="K9" s="190"/>
      <c r="L9" s="190"/>
      <c r="M9" s="189"/>
      <c r="N9" t="str">
        <f>IFERROR(IF( H9="Melkkoeien", VLOOKUP(_xlfn.CONCAT(H9,I9),'Lijsten en tabellen'!$AK$3:$AM$35,3,FALSE),VLOOKUP(H9,'Lijsten en tabellen'!$AK$2:$AM$35,3,FALSE)),"")</f>
        <v/>
      </c>
      <c r="O9" t="str">
        <f>IFERROR(IF( H9="Melkkoeien", VLOOKUP(_xlfn.CONCAT(H9,I9),'Lijsten en tabellen'!$AK$3:$AM$35,2,FALSE),VLOOKUP(H9,'Lijsten en tabellen'!$AK$2:$AM$35,2,FALSE)),"")</f>
        <v/>
      </c>
      <c r="P9" s="78" t="str">
        <f t="shared" si="0"/>
        <v/>
      </c>
      <c r="Q9" s="78" t="str">
        <f t="shared" si="2"/>
        <v/>
      </c>
      <c r="R9" s="78" t="str">
        <f t="shared" si="1"/>
        <v/>
      </c>
      <c r="S9" s="78"/>
    </row>
    <row r="10" spans="2:19" x14ac:dyDescent="0.3">
      <c r="C10" s="101" t="s">
        <v>595</v>
      </c>
      <c r="D10" s="186"/>
      <c r="E10" s="147"/>
      <c r="G10" s="42"/>
    </row>
    <row r="11" spans="2:19" ht="15" thickBot="1" x14ac:dyDescent="0.35">
      <c r="C11" s="103" t="s">
        <v>597</v>
      </c>
      <c r="D11" s="188"/>
      <c r="E11" s="147"/>
    </row>
    <row r="12" spans="2:19" hidden="1" x14ac:dyDescent="0.3">
      <c r="C12" s="148" t="e">
        <f>_xlfn.CONCAT(D6,D3,D5,E4)</f>
        <v>#N/A</v>
      </c>
      <c r="D12" s="32" t="str">
        <f>_xlfn.CONCAT(D7,D3,D5)</f>
        <v/>
      </c>
    </row>
    <row r="13" spans="2:19" x14ac:dyDescent="0.3">
      <c r="C13" s="148"/>
      <c r="D13" s="32"/>
    </row>
    <row r="14" spans="2:19" ht="18.600000000000001" thickBot="1" x14ac:dyDescent="0.4">
      <c r="C14" s="29" t="s">
        <v>402</v>
      </c>
      <c r="D14" s="30"/>
      <c r="E14" s="98"/>
      <c r="K14" s="32"/>
      <c r="L14" s="32"/>
    </row>
    <row r="15" spans="2:19" ht="19.8" thickBot="1" x14ac:dyDescent="0.5">
      <c r="C15" s="117" t="s">
        <v>399</v>
      </c>
      <c r="D15" s="118" t="s">
        <v>400</v>
      </c>
      <c r="E15" s="119" t="s">
        <v>401</v>
      </c>
      <c r="K15" s="32"/>
      <c r="L15" s="32"/>
    </row>
    <row r="16" spans="2:19" ht="15.6" x14ac:dyDescent="0.3">
      <c r="C16" s="207">
        <v>170</v>
      </c>
      <c r="D16" s="207" t="str">
        <f>IFERROR(IF(D7="Ja",VLOOKUP(D12,'Lijsten en tabellen'!E11:F14,2,FALSE),VLOOKUP(C12,'Lijsten en tabellen'!B10:C42,2,FALSE)),"")</f>
        <v/>
      </c>
      <c r="E16" s="207" t="str">
        <f>IF(D8="I",'Lijsten en tabellen'!S4,IF(D8="II",'Lijsten en tabellen'!T4,IF(D8="III",'Lijsten en tabellen'!U4,IF(D8="IV",'Lijsten en tabellen'!V4,""))))</f>
        <v/>
      </c>
      <c r="K16" s="32"/>
      <c r="L16" s="32"/>
    </row>
    <row r="17" spans="2:20" ht="15.6" x14ac:dyDescent="0.3">
      <c r="C17" s="98" t="s">
        <v>538</v>
      </c>
      <c r="D17" s="208"/>
      <c r="E17" s="208"/>
      <c r="K17" s="32"/>
      <c r="L17" s="32"/>
    </row>
    <row r="18" spans="2:20" x14ac:dyDescent="0.3">
      <c r="C18" s="148" t="e">
        <f>_xlfn.CONCAT(D3,D5,E5,B4)</f>
        <v>#N/A</v>
      </c>
      <c r="K18" s="32"/>
    </row>
    <row r="19" spans="2:20" ht="18" x14ac:dyDescent="0.35">
      <c r="C19" s="29" t="s">
        <v>413</v>
      </c>
      <c r="E19" s="31"/>
      <c r="F19" s="31"/>
      <c r="G19" s="31"/>
      <c r="H19" s="31"/>
      <c r="I19" s="31"/>
      <c r="K19" s="32"/>
    </row>
    <row r="20" spans="2:20" ht="18" x14ac:dyDescent="0.35">
      <c r="C20" s="192" t="s">
        <v>516</v>
      </c>
      <c r="E20" s="31"/>
      <c r="F20" s="31"/>
      <c r="G20" s="31"/>
      <c r="H20" s="31"/>
      <c r="I20" s="31"/>
      <c r="K20" s="32"/>
      <c r="T20" s="29"/>
    </row>
    <row r="21" spans="2:20" ht="19.2" x14ac:dyDescent="0.3">
      <c r="D21" s="41" t="s">
        <v>400</v>
      </c>
      <c r="E21" s="41" t="s">
        <v>414</v>
      </c>
      <c r="F21" s="41" t="s">
        <v>415</v>
      </c>
      <c r="G21" s="41" t="s">
        <v>416</v>
      </c>
      <c r="H21" s="41" t="s">
        <v>417</v>
      </c>
      <c r="I21" s="41" t="s">
        <v>418</v>
      </c>
      <c r="J21" s="41" t="s">
        <v>419</v>
      </c>
      <c r="K21" s="32"/>
    </row>
    <row r="22" spans="2:20" ht="15.6" hidden="1" x14ac:dyDescent="0.3">
      <c r="B22" t="s">
        <v>516</v>
      </c>
      <c r="C22" s="41" t="s">
        <v>450</v>
      </c>
      <c r="D22" s="209" t="e">
        <f>VLOOKUP(C18,'Algemene adviezen'!G3:N14,2,FALSE)</f>
        <v>#N/A</v>
      </c>
      <c r="E22" s="209" t="e">
        <f>VLOOKUP(C18,'Algemene adviezen'!G3:N14,3,FALSE)</f>
        <v>#N/A</v>
      </c>
      <c r="F22" s="209" t="e">
        <f>VLOOKUP(C18,'Algemene adviezen'!G3:N14,4,FALSE)</f>
        <v>#N/A</v>
      </c>
      <c r="G22" s="209" t="e">
        <f>VLOOKUP(C18,'Algemene adviezen'!G3:N14,5,FALSE)</f>
        <v>#N/A</v>
      </c>
      <c r="H22" s="209" t="e">
        <f>VLOOKUP(C18,'Algemene adviezen'!G3:N14,6,FALSE)</f>
        <v>#N/A</v>
      </c>
      <c r="I22" s="209" t="e">
        <f>VLOOKUP(C18,'Algemene adviezen'!G3:N14,7,FALSE)</f>
        <v>#N/A</v>
      </c>
      <c r="J22" s="209" t="e">
        <f>VLOOKUP(C18,'Algemene adviezen'!G3:N14,8,FALSE)</f>
        <v>#N/A</v>
      </c>
    </row>
    <row r="23" spans="2:20" ht="15.6" hidden="1" x14ac:dyDescent="0.3">
      <c r="B23" t="s">
        <v>517</v>
      </c>
      <c r="C23" s="41" t="s">
        <v>522</v>
      </c>
      <c r="D23" s="209" t="e">
        <f>D22</f>
        <v>#N/A</v>
      </c>
      <c r="E23" s="209" t="e">
        <f t="shared" ref="E23:J23" si="3">E22</f>
        <v>#N/A</v>
      </c>
      <c r="F23" s="209" t="e">
        <f t="shared" si="3"/>
        <v>#N/A</v>
      </c>
      <c r="G23" s="209" t="e">
        <f t="shared" si="3"/>
        <v>#N/A</v>
      </c>
      <c r="H23" s="209" t="e">
        <f t="shared" si="3"/>
        <v>#N/A</v>
      </c>
      <c r="I23" s="209" t="e">
        <f t="shared" si="3"/>
        <v>#N/A</v>
      </c>
      <c r="J23" s="209" t="e">
        <f t="shared" si="3"/>
        <v>#N/A</v>
      </c>
    </row>
    <row r="24" spans="2:20" ht="15.6" hidden="1" x14ac:dyDescent="0.3">
      <c r="B24" t="s">
        <v>516</v>
      </c>
      <c r="C24" s="41" t="s">
        <v>449</v>
      </c>
      <c r="D24" s="210"/>
      <c r="E24" s="210"/>
      <c r="F24" s="210"/>
      <c r="G24" s="210"/>
      <c r="H24" s="210"/>
      <c r="I24" s="210"/>
      <c r="J24" s="210"/>
    </row>
    <row r="25" spans="2:20" ht="15.6" hidden="1" x14ac:dyDescent="0.3">
      <c r="B25" t="str">
        <f>IFERROR(IF($D$10&gt;0,"Per snede",""),"Per snede")</f>
        <v/>
      </c>
      <c r="C25" s="41" t="s">
        <v>465</v>
      </c>
      <c r="D25" s="210" t="str">
        <f>IF($B$35="Per snede",D35,"")</f>
        <v/>
      </c>
      <c r="E25" s="210" t="str">
        <f t="shared" ref="E25:J25" si="4">IF($B$35="Per snede",E35,"")</f>
        <v/>
      </c>
      <c r="F25" s="210" t="str">
        <f t="shared" si="4"/>
        <v/>
      </c>
      <c r="G25" s="210" t="str">
        <f t="shared" si="4"/>
        <v/>
      </c>
      <c r="H25" s="210" t="str">
        <f t="shared" si="4"/>
        <v/>
      </c>
      <c r="I25" s="210" t="str">
        <f t="shared" si="4"/>
        <v/>
      </c>
      <c r="J25" s="210" t="str">
        <f t="shared" si="4"/>
        <v/>
      </c>
    </row>
    <row r="26" spans="2:20" ht="15.6" hidden="1" x14ac:dyDescent="0.3">
      <c r="B26" t="str">
        <f>IFERROR(IF($D$10&gt;1,"Per snede",""),"Per snede")</f>
        <v/>
      </c>
      <c r="C26" s="41" t="s">
        <v>499</v>
      </c>
      <c r="D26" s="210" t="str">
        <f>IF($B$36="Per snede",D36,"")</f>
        <v/>
      </c>
      <c r="E26" s="210" t="str">
        <f t="shared" ref="E26:J26" si="5">IF($B$36="Per snede",E36,"")</f>
        <v/>
      </c>
      <c r="F26" s="210" t="str">
        <f t="shared" si="5"/>
        <v/>
      </c>
      <c r="G26" s="210" t="str">
        <f t="shared" si="5"/>
        <v/>
      </c>
      <c r="H26" s="210" t="str">
        <f t="shared" si="5"/>
        <v/>
      </c>
      <c r="I26" s="210" t="str">
        <f t="shared" si="5"/>
        <v/>
      </c>
      <c r="J26" s="210" t="str">
        <f t="shared" si="5"/>
        <v/>
      </c>
    </row>
    <row r="27" spans="2:20" ht="15.6" hidden="1" x14ac:dyDescent="0.3">
      <c r="B27" t="str">
        <f>IFERROR(IF($D$10&gt;2,"Per snede",""),"Per snede")</f>
        <v/>
      </c>
      <c r="C27" s="41" t="s">
        <v>500</v>
      </c>
      <c r="D27" s="210" t="str">
        <f>IF($B$37="Per snede",D37,"")</f>
        <v/>
      </c>
      <c r="E27" s="210" t="str">
        <f t="shared" ref="E27:J27" si="6">IF($B$37="Per snede",E37,"")</f>
        <v/>
      </c>
      <c r="F27" s="210" t="str">
        <f t="shared" si="6"/>
        <v/>
      </c>
      <c r="G27" s="210" t="str">
        <f t="shared" si="6"/>
        <v/>
      </c>
      <c r="H27" s="210" t="str">
        <f t="shared" si="6"/>
        <v/>
      </c>
      <c r="I27" s="210" t="str">
        <f t="shared" si="6"/>
        <v/>
      </c>
      <c r="J27" s="210" t="str">
        <f t="shared" si="6"/>
        <v/>
      </c>
    </row>
    <row r="28" spans="2:20" ht="15.6" hidden="1" x14ac:dyDescent="0.3">
      <c r="B28" t="str">
        <f>IFERROR(IF($D$10&gt;3,"Per snede",""),"Per snede")</f>
        <v/>
      </c>
      <c r="C28" s="41" t="s">
        <v>501</v>
      </c>
      <c r="D28" s="210" t="str">
        <f>IF($B$38="Per snede",D38,"")</f>
        <v/>
      </c>
      <c r="E28" s="210" t="str">
        <f t="shared" ref="E28:J28" si="7">IF($B$38="Per snede",E38,"")</f>
        <v/>
      </c>
      <c r="F28" s="210" t="str">
        <f t="shared" si="7"/>
        <v/>
      </c>
      <c r="G28" s="210" t="str">
        <f t="shared" si="7"/>
        <v/>
      </c>
      <c r="H28" s="210" t="str">
        <f t="shared" si="7"/>
        <v/>
      </c>
      <c r="I28" s="210" t="str">
        <f t="shared" si="7"/>
        <v/>
      </c>
      <c r="J28" s="210" t="str">
        <f t="shared" si="7"/>
        <v/>
      </c>
    </row>
    <row r="29" spans="2:20" ht="15.6" hidden="1" x14ac:dyDescent="0.3">
      <c r="B29" t="str">
        <f>IFERROR(IF($D$10&gt;4,"Per snede",""),"Per snede")</f>
        <v/>
      </c>
      <c r="C29" s="41" t="s">
        <v>502</v>
      </c>
      <c r="D29" s="210" t="str">
        <f>IF($B$39="Per snede",D39,"")</f>
        <v/>
      </c>
      <c r="E29" s="210" t="str">
        <f t="shared" ref="E29:J29" si="8">IF($B$39="Per snede",E39,"")</f>
        <v/>
      </c>
      <c r="F29" s="210" t="str">
        <f t="shared" si="8"/>
        <v/>
      </c>
      <c r="G29" s="210" t="str">
        <f t="shared" si="8"/>
        <v/>
      </c>
      <c r="H29" s="210" t="str">
        <f t="shared" si="8"/>
        <v/>
      </c>
      <c r="I29" s="210" t="str">
        <f t="shared" si="8"/>
        <v/>
      </c>
      <c r="J29" s="210" t="str">
        <f t="shared" si="8"/>
        <v/>
      </c>
    </row>
    <row r="30" spans="2:20" ht="15.6" hidden="1" x14ac:dyDescent="0.3">
      <c r="B30" t="str">
        <f>IFERROR(IF($D$10&gt;5,"Per snede",""),"Per snede")</f>
        <v/>
      </c>
      <c r="C30" s="41" t="s">
        <v>503</v>
      </c>
      <c r="D30" s="210" t="str">
        <f>IF($B$40="Per snede",D40,"")</f>
        <v/>
      </c>
      <c r="E30" s="210" t="str">
        <f t="shared" ref="E30:J30" si="9">IF($B$40="Per snede",E40,"")</f>
        <v/>
      </c>
      <c r="F30" s="210" t="str">
        <f t="shared" si="9"/>
        <v/>
      </c>
      <c r="G30" s="210" t="str">
        <f t="shared" si="9"/>
        <v/>
      </c>
      <c r="H30" s="210" t="str">
        <f t="shared" si="9"/>
        <v/>
      </c>
      <c r="I30" s="210" t="str">
        <f t="shared" si="9"/>
        <v/>
      </c>
      <c r="J30" s="210" t="str">
        <f t="shared" si="9"/>
        <v/>
      </c>
    </row>
    <row r="31" spans="2:20" ht="15.6" hidden="1" x14ac:dyDescent="0.3">
      <c r="B31" t="s">
        <v>517</v>
      </c>
      <c r="C31" s="41" t="s">
        <v>530</v>
      </c>
      <c r="D31" s="209">
        <f>SUM(D25:D30)</f>
        <v>0</v>
      </c>
      <c r="E31" s="209">
        <f t="shared" ref="E31:J31" si="10">SUM(E25:E30)</f>
        <v>0</v>
      </c>
      <c r="F31" s="209">
        <f t="shared" si="10"/>
        <v>0</v>
      </c>
      <c r="G31" s="209">
        <f t="shared" si="10"/>
        <v>0</v>
      </c>
      <c r="H31" s="209">
        <f t="shared" si="10"/>
        <v>0</v>
      </c>
      <c r="I31" s="209">
        <f t="shared" si="10"/>
        <v>0</v>
      </c>
      <c r="J31" s="209">
        <f t="shared" si="10"/>
        <v>0</v>
      </c>
    </row>
    <row r="32" spans="2:20" hidden="1" x14ac:dyDescent="0.3"/>
    <row r="33" spans="2:26" ht="19.8" hidden="1" thickBot="1" x14ac:dyDescent="0.35">
      <c r="D33" s="121" t="s">
        <v>400</v>
      </c>
      <c r="E33" s="122" t="s">
        <v>414</v>
      </c>
      <c r="F33" s="122" t="s">
        <v>415</v>
      </c>
      <c r="G33" s="122" t="s">
        <v>416</v>
      </c>
      <c r="H33" s="122" t="s">
        <v>417</v>
      </c>
      <c r="I33" s="122" t="s">
        <v>418</v>
      </c>
      <c r="J33" s="123" t="s">
        <v>419</v>
      </c>
      <c r="L33" s="33"/>
      <c r="M33" s="33"/>
      <c r="N33" s="33"/>
      <c r="O33" s="33"/>
      <c r="P33" s="33"/>
      <c r="T33" s="33"/>
      <c r="U33" s="214" t="s">
        <v>605</v>
      </c>
      <c r="V33" s="215"/>
      <c r="W33" s="215"/>
      <c r="X33" s="216"/>
      <c r="Y33" s="216"/>
      <c r="Z33" s="217"/>
    </row>
    <row r="34" spans="2:26" ht="15.6" x14ac:dyDescent="0.3">
      <c r="B34" t="str" cm="1">
        <f t="array" ref="B34:C35">_xlfn._xlws.FILTER(B22:C30,B22:B30=C20)</f>
        <v>Per jaar</v>
      </c>
      <c r="C34" s="85" t="str">
        <v>Algemeen advies</v>
      </c>
      <c r="D34" s="120" t="str">
        <f t="shared" ref="D34:J34" si="11">IFERROR(D22,"")</f>
        <v/>
      </c>
      <c r="E34" s="120" t="str">
        <f t="shared" si="11"/>
        <v/>
      </c>
      <c r="F34" s="120" t="str">
        <f t="shared" si="11"/>
        <v/>
      </c>
      <c r="G34" s="120" t="str">
        <f t="shared" si="11"/>
        <v/>
      </c>
      <c r="H34" s="120" t="str">
        <f t="shared" si="11"/>
        <v/>
      </c>
      <c r="I34" s="120" t="str">
        <f t="shared" si="11"/>
        <v/>
      </c>
      <c r="J34" s="120" t="str">
        <f t="shared" si="11"/>
        <v/>
      </c>
      <c r="T34" s="33"/>
      <c r="U34" s="33"/>
      <c r="V34" s="33"/>
      <c r="W34" s="33"/>
    </row>
    <row r="35" spans="2:26" ht="15.6" x14ac:dyDescent="0.3">
      <c r="B35" t="str">
        <v>Per jaar</v>
      </c>
      <c r="C35" s="85" t="str">
        <v>Advies eigen analyse</v>
      </c>
      <c r="D35" s="87"/>
      <c r="E35" s="87"/>
      <c r="F35" s="87"/>
      <c r="G35" s="87"/>
      <c r="H35" s="87"/>
      <c r="I35" s="87"/>
      <c r="J35" s="87"/>
      <c r="M35" s="206"/>
      <c r="N35" s="206"/>
    </row>
    <row r="36" spans="2:26" ht="15.6" x14ac:dyDescent="0.3">
      <c r="C36" s="85"/>
      <c r="D36" s="191"/>
      <c r="E36" s="191"/>
      <c r="F36" s="191"/>
      <c r="G36" s="191"/>
      <c r="H36" s="191"/>
      <c r="I36" s="191"/>
      <c r="J36" s="191"/>
      <c r="M36" s="1"/>
      <c r="N36" s="1"/>
      <c r="U36" s="211"/>
      <c r="V36" s="211"/>
    </row>
    <row r="37" spans="2:26" ht="15.6" x14ac:dyDescent="0.3">
      <c r="C37" s="85"/>
      <c r="D37" s="191"/>
      <c r="E37" s="191"/>
      <c r="F37" s="191"/>
      <c r="G37" s="191"/>
      <c r="H37" s="191"/>
      <c r="I37" s="191"/>
      <c r="J37" s="191"/>
      <c r="M37" s="1"/>
      <c r="N37" s="1"/>
      <c r="U37" s="158"/>
      <c r="V37" s="158"/>
    </row>
    <row r="38" spans="2:26" ht="15.6" x14ac:dyDescent="0.3">
      <c r="C38" s="85"/>
      <c r="D38" s="191"/>
      <c r="E38" s="191"/>
      <c r="F38" s="191"/>
      <c r="G38" s="191"/>
      <c r="H38" s="191"/>
      <c r="I38" s="191"/>
      <c r="J38" s="191"/>
      <c r="M38" s="1"/>
      <c r="N38" s="1"/>
      <c r="U38" s="158"/>
      <c r="V38" s="158"/>
    </row>
    <row r="39" spans="2:26" ht="15.6" x14ac:dyDescent="0.3">
      <c r="C39" s="85"/>
      <c r="D39" s="191"/>
      <c r="E39" s="191"/>
      <c r="F39" s="191"/>
      <c r="G39" s="191"/>
      <c r="H39" s="191"/>
      <c r="I39" s="191"/>
      <c r="J39" s="191"/>
      <c r="U39" s="158"/>
      <c r="V39" s="158"/>
    </row>
    <row r="40" spans="2:26" ht="15.6" x14ac:dyDescent="0.3">
      <c r="C40" s="85"/>
      <c r="D40" s="191"/>
      <c r="E40" s="191"/>
      <c r="F40" s="191"/>
      <c r="G40" s="191"/>
      <c r="H40" s="191"/>
      <c r="I40" s="191"/>
      <c r="J40" s="191"/>
      <c r="U40" s="158"/>
      <c r="V40" s="158"/>
    </row>
    <row r="41" spans="2:26" ht="15.6" x14ac:dyDescent="0.3">
      <c r="C41" s="85"/>
      <c r="D41" s="1"/>
      <c r="E41" s="1"/>
      <c r="F41" s="1"/>
      <c r="G41" s="1"/>
      <c r="H41" s="1"/>
      <c r="I41" s="1"/>
      <c r="J41" s="1"/>
    </row>
    <row r="42" spans="2:26" ht="18" x14ac:dyDescent="0.35">
      <c r="C42" s="29" t="s">
        <v>628</v>
      </c>
    </row>
    <row r="43" spans="2:26" ht="18.600000000000001" thickBot="1" x14ac:dyDescent="0.4">
      <c r="C43" s="29"/>
      <c r="N43" s="218" t="s">
        <v>534</v>
      </c>
      <c r="O43" s="218"/>
      <c r="P43" s="218"/>
      <c r="Q43" s="218"/>
    </row>
    <row r="44" spans="2:26" ht="19.8" thickBot="1" x14ac:dyDescent="0.35">
      <c r="C44" s="47" t="s">
        <v>464</v>
      </c>
      <c r="D44" s="108" t="s">
        <v>466</v>
      </c>
      <c r="E44" s="48" t="s">
        <v>470</v>
      </c>
      <c r="F44" s="48" t="s">
        <v>400</v>
      </c>
      <c r="G44" s="106" t="s">
        <v>414</v>
      </c>
      <c r="H44" s="106" t="s">
        <v>415</v>
      </c>
      <c r="I44" s="106" t="s">
        <v>416</v>
      </c>
      <c r="J44" s="106" t="s">
        <v>417</v>
      </c>
      <c r="K44" s="106" t="s">
        <v>418</v>
      </c>
      <c r="L44" s="106" t="s">
        <v>419</v>
      </c>
      <c r="M44" s="107" t="s">
        <v>615</v>
      </c>
      <c r="N44" s="74" t="s">
        <v>533</v>
      </c>
      <c r="O44" s="74" t="s">
        <v>512</v>
      </c>
      <c r="P44" s="74" t="s">
        <v>513</v>
      </c>
      <c r="Q44" s="74" t="s">
        <v>514</v>
      </c>
    </row>
    <row r="45" spans="2:26" x14ac:dyDescent="0.3">
      <c r="C45" s="104" t="str">
        <f>IF(NOT('Te gebruiken meststoffen'!R3=0), 'Te gebruiken meststoffen'!R3,"")</f>
        <v/>
      </c>
      <c r="D45" s="104" t="str">
        <f>IFERROR(VLOOKUP(C45,'Te gebruiken meststoffen'!$R$3:$AA$10,2,FALSE),"")</f>
        <v/>
      </c>
      <c r="E45" s="105">
        <f>IFERROR(VLOOKUP(C45,'Te gebruiken meststoffen'!$R$3:$AA$10,3,FALSE),0)</f>
        <v>0</v>
      </c>
      <c r="F45" s="105">
        <f>IFERROR(VLOOKUP(C45,'Te gebruiken meststoffen'!$R$3:$AA$10,4,FALSE),0)</f>
        <v>0</v>
      </c>
      <c r="G45" s="105">
        <f>IFERROR(VLOOKUP(C45,'Te gebruiken meststoffen'!$R$3:$AA$10,5,FALSE),0)</f>
        <v>0</v>
      </c>
      <c r="H45" s="105">
        <f>IFERROR(VLOOKUP(C45,'Te gebruiken meststoffen'!$R$3:$AA$10,6,FALSE),0)</f>
        <v>0</v>
      </c>
      <c r="I45" s="105">
        <f>IFERROR(VLOOKUP(C45,'Te gebruiken meststoffen'!$R$3:$AA$10,7,FALSE),0)</f>
        <v>0</v>
      </c>
      <c r="J45" s="105">
        <f>IFERROR(VLOOKUP(C45,'Te gebruiken meststoffen'!$R$3:$AA$10,8,FALSE),0)</f>
        <v>0</v>
      </c>
      <c r="K45" s="105">
        <f>IFERROR(VLOOKUP(C45,'Te gebruiken meststoffen'!$R$3:$AA$10,9,FALSE),0)</f>
        <v>0</v>
      </c>
      <c r="L45" s="129">
        <f>IFERROR(VLOOKUP(C45,'Te gebruiken meststoffen'!$R$3:$AB$10,10,FALSE),0)</f>
        <v>0</v>
      </c>
      <c r="M45" s="105">
        <f>IFERROR(VLOOKUP(C45,'Te gebruiken meststoffen'!$R$3:$AH$10,17,FALSE),0)</f>
        <v>0</v>
      </c>
      <c r="N45" s="78">
        <f>IFERROR(VLOOKUP(C45,'Te gebruiken meststoffen'!$R$3:$AG$10,13,FALSE),0)</f>
        <v>0</v>
      </c>
      <c r="O45" s="78">
        <f>IFERROR(VLOOKUP(C45,'Te gebruiken meststoffen'!$R$3:$AG$10,14,FALSE),0)</f>
        <v>0</v>
      </c>
      <c r="P45" s="78">
        <f>IFERROR(VLOOKUP(C45,'Te gebruiken meststoffen'!$R$3:$AG$10,15,FALSE),0)</f>
        <v>0</v>
      </c>
      <c r="Q45" s="78">
        <f>IFERROR(VLOOKUP(C45,'Te gebruiken meststoffen'!$R$3:$AG$10,16,FALSE),0)</f>
        <v>0</v>
      </c>
      <c r="T45" s="149" t="e">
        <f>VLOOKUP(C45,'Te gebruiken meststoffen'!$R$3:$AB$10,11,FALSE)</f>
        <v>#N/A</v>
      </c>
    </row>
    <row r="46" spans="2:26" x14ac:dyDescent="0.3">
      <c r="C46" s="104" t="str">
        <f>IF(NOT('Te gebruiken meststoffen'!R4=0), 'Te gebruiken meststoffen'!R4,"")</f>
        <v/>
      </c>
      <c r="D46" s="86" t="str">
        <f>IFERROR(VLOOKUP(C46,'Te gebruiken meststoffen'!$R$3:$AA$10,2,FALSE),"")</f>
        <v/>
      </c>
      <c r="E46" s="99">
        <f>IFERROR(VLOOKUP(C46,'Te gebruiken meststoffen'!$R$3:$AA$10,3,FALSE),0)</f>
        <v>0</v>
      </c>
      <c r="F46" s="99">
        <f>IFERROR(VLOOKUP(C46,'Te gebruiken meststoffen'!$R$3:$AA$10,4,FALSE),0)</f>
        <v>0</v>
      </c>
      <c r="G46" s="99">
        <f>IFERROR(VLOOKUP(C46,'Te gebruiken meststoffen'!$R$3:$AA$10,5,FALSE),0)</f>
        <v>0</v>
      </c>
      <c r="H46" s="99">
        <f>IFERROR(VLOOKUP(C46,'Te gebruiken meststoffen'!$R$3:$AA$10,6,FALSE),0)</f>
        <v>0</v>
      </c>
      <c r="I46" s="99">
        <f>IFERROR(VLOOKUP(C46,'Te gebruiken meststoffen'!$R$3:$AA$10,7,FALSE),0)</f>
        <v>0</v>
      </c>
      <c r="J46" s="99">
        <f>IFERROR(VLOOKUP(C46,'Te gebruiken meststoffen'!$R$3:$AA$10,8,FALSE),0)</f>
        <v>0</v>
      </c>
      <c r="K46" s="99">
        <f>IFERROR(VLOOKUP(C46,'Te gebruiken meststoffen'!$R$3:$AA$10,9,FALSE),0)</f>
        <v>0</v>
      </c>
      <c r="L46" s="130">
        <f>IFERROR(VLOOKUP(C46,'Te gebruiken meststoffen'!$R$3:$AB$10,10,FALSE),0)</f>
        <v>0</v>
      </c>
      <c r="M46" s="99">
        <f>IFERROR(VLOOKUP(C46,'Te gebruiken meststoffen'!$R$3:$AH$10,17,FALSE),0)</f>
        <v>0</v>
      </c>
      <c r="N46" s="78">
        <f>IFERROR(VLOOKUP(C46,'Te gebruiken meststoffen'!$R$3:$AG$10,13,FALSE),0)</f>
        <v>0</v>
      </c>
      <c r="O46" s="78">
        <f>IFERROR(VLOOKUP(C46,'Te gebruiken meststoffen'!$R$3:$AG$10,14,FALSE),0)</f>
        <v>0</v>
      </c>
      <c r="P46" s="78">
        <f>IFERROR(VLOOKUP(C46,'Te gebruiken meststoffen'!$R$3:$AG$10,15,FALSE),0)</f>
        <v>0</v>
      </c>
      <c r="Q46" s="78">
        <f>IFERROR(VLOOKUP(C46,'Te gebruiken meststoffen'!$R$3:$AG$10,16,FALSE),0)</f>
        <v>0</v>
      </c>
      <c r="T46" s="149" t="e">
        <f>VLOOKUP(C46,'Te gebruiken meststoffen'!$R$3:$AB$10,11,FALSE)</f>
        <v>#N/A</v>
      </c>
    </row>
    <row r="47" spans="2:26" x14ac:dyDescent="0.3">
      <c r="C47" s="104" t="str">
        <f>IF(NOT('Te gebruiken meststoffen'!R5=0), 'Te gebruiken meststoffen'!R5,"")</f>
        <v/>
      </c>
      <c r="D47" s="86" t="str">
        <f>IFERROR(VLOOKUP(C47,'Te gebruiken meststoffen'!$R$3:$AA$10,2,FALSE),"")</f>
        <v/>
      </c>
      <c r="E47" s="99">
        <f>IFERROR(VLOOKUP(C47,'Te gebruiken meststoffen'!$R$3:$AA$10,3,FALSE),0)</f>
        <v>0</v>
      </c>
      <c r="F47" s="99">
        <f>IFERROR(VLOOKUP(C47,'Te gebruiken meststoffen'!$R$3:$AA$10,4,FALSE),0)</f>
        <v>0</v>
      </c>
      <c r="G47" s="99">
        <f>IFERROR(VLOOKUP(C47,'Te gebruiken meststoffen'!$R$3:$AA$10,5,FALSE),0)</f>
        <v>0</v>
      </c>
      <c r="H47" s="99">
        <f>IFERROR(VLOOKUP(C47,'Te gebruiken meststoffen'!$R$3:$AA$10,6,FALSE),0)</f>
        <v>0</v>
      </c>
      <c r="I47" s="99">
        <f>IFERROR(VLOOKUP(C47,'Te gebruiken meststoffen'!$R$3:$AA$10,7,FALSE),0)</f>
        <v>0</v>
      </c>
      <c r="J47" s="99">
        <f>IFERROR(VLOOKUP(C47,'Te gebruiken meststoffen'!$R$3:$AA$10,8,FALSE),0)</f>
        <v>0</v>
      </c>
      <c r="K47" s="99">
        <f>IFERROR(VLOOKUP(C47,'Te gebruiken meststoffen'!$R$3:$AA$10,9,FALSE),0)</f>
        <v>0</v>
      </c>
      <c r="L47" s="130">
        <f>IFERROR(VLOOKUP(C47,'Te gebruiken meststoffen'!$R$3:$AB$10,10,FALSE),0)</f>
        <v>0</v>
      </c>
      <c r="M47" s="99">
        <f>IFERROR(VLOOKUP(C47,'Te gebruiken meststoffen'!$R$3:$AH$10,17,FALSE),0)</f>
        <v>0</v>
      </c>
      <c r="N47" s="78">
        <f>IFERROR(VLOOKUP(C47,'Te gebruiken meststoffen'!$R$3:$AG$10,13,FALSE),0)</f>
        <v>0</v>
      </c>
      <c r="O47" s="78">
        <f>IFERROR(VLOOKUP(C47,'Te gebruiken meststoffen'!$R$3:$AG$10,14,FALSE),0)</f>
        <v>0</v>
      </c>
      <c r="P47" s="78">
        <f>IFERROR(VLOOKUP(C47,'Te gebruiken meststoffen'!$R$3:$AG$10,15,FALSE),0)</f>
        <v>0</v>
      </c>
      <c r="Q47" s="78">
        <f>IFERROR(VLOOKUP(C47,'Te gebruiken meststoffen'!$R$3:$AG$10,16,FALSE),0)</f>
        <v>0</v>
      </c>
      <c r="T47" s="149" t="e">
        <f>VLOOKUP(C47,'Te gebruiken meststoffen'!$R$3:$AB$10,11,FALSE)</f>
        <v>#N/A</v>
      </c>
    </row>
    <row r="48" spans="2:26" x14ac:dyDescent="0.3">
      <c r="C48" s="104" t="str">
        <f>IF(NOT('Te gebruiken meststoffen'!R6=0), 'Te gebruiken meststoffen'!R6,"")</f>
        <v/>
      </c>
      <c r="D48" s="86" t="str">
        <f>IFERROR(VLOOKUP(C48,'Te gebruiken meststoffen'!$R$3:$AA$10,2,FALSE),"")</f>
        <v/>
      </c>
      <c r="E48" s="99">
        <f>IFERROR(VLOOKUP(C48,'Te gebruiken meststoffen'!$R$3:$AA$10,3,FALSE),0)</f>
        <v>0</v>
      </c>
      <c r="F48" s="99">
        <f>IFERROR(VLOOKUP(C48,'Te gebruiken meststoffen'!$R$3:$AA$10,4,FALSE),0)</f>
        <v>0</v>
      </c>
      <c r="G48" s="99">
        <f>IFERROR(VLOOKUP(C48,'Te gebruiken meststoffen'!$R$3:$AA$10,5,FALSE),0)</f>
        <v>0</v>
      </c>
      <c r="H48" s="99">
        <f>IFERROR(VLOOKUP(C48,'Te gebruiken meststoffen'!$R$3:$AA$10,6,FALSE),0)</f>
        <v>0</v>
      </c>
      <c r="I48" s="99">
        <f>IFERROR(VLOOKUP(C48,'Te gebruiken meststoffen'!$R$3:$AA$10,7,FALSE),0)</f>
        <v>0</v>
      </c>
      <c r="J48" s="99">
        <f>IFERROR(VLOOKUP(C48,'Te gebruiken meststoffen'!$R$3:$AA$10,8,FALSE),0)</f>
        <v>0</v>
      </c>
      <c r="K48" s="99">
        <f>IFERROR(VLOOKUP(C48,'Te gebruiken meststoffen'!$R$3:$AA$10,9,FALSE),0)</f>
        <v>0</v>
      </c>
      <c r="L48" s="130">
        <f>IFERROR(VLOOKUP(C48,'Te gebruiken meststoffen'!$R$3:$AB$10,10,FALSE),0)</f>
        <v>0</v>
      </c>
      <c r="M48" s="99">
        <f>IFERROR(VLOOKUP(C48,'Te gebruiken meststoffen'!$R$3:$AH$10,17,FALSE),0)</f>
        <v>0</v>
      </c>
      <c r="N48" s="78">
        <f>IFERROR(VLOOKUP(C48,'Te gebruiken meststoffen'!$R$3:$AG$10,13,FALSE),0)</f>
        <v>0</v>
      </c>
      <c r="O48" s="78">
        <f>IFERROR(VLOOKUP(C48,'Te gebruiken meststoffen'!$R$3:$AG$10,14,FALSE),0)</f>
        <v>0</v>
      </c>
      <c r="P48" s="78">
        <f>IFERROR(VLOOKUP(C48,'Te gebruiken meststoffen'!$R$3:$AG$10,15,FALSE),0)</f>
        <v>0</v>
      </c>
      <c r="Q48" s="78">
        <f>IFERROR(VLOOKUP(C48,'Te gebruiken meststoffen'!$R$3:$AG$10,16,FALSE),0)</f>
        <v>0</v>
      </c>
      <c r="T48" s="149" t="e">
        <f>VLOOKUP(C48,'Te gebruiken meststoffen'!$R$3:$AB$10,11,FALSE)</f>
        <v>#N/A</v>
      </c>
    </row>
    <row r="49" spans="1:38" x14ac:dyDescent="0.3">
      <c r="C49" s="104" t="str">
        <f>IF(NOT('Te gebruiken meststoffen'!R7=0), 'Te gebruiken meststoffen'!R7,"")</f>
        <v/>
      </c>
      <c r="D49" s="86" t="str">
        <f>IFERROR(VLOOKUP(C49,'Te gebruiken meststoffen'!$R$3:$AA$10,2,FALSE),"")</f>
        <v/>
      </c>
      <c r="E49" s="99">
        <f>IFERROR(VLOOKUP(C49,'Te gebruiken meststoffen'!$R$3:$AA$10,3,FALSE),0)</f>
        <v>0</v>
      </c>
      <c r="F49" s="99">
        <f>IFERROR(VLOOKUP(C49,'Te gebruiken meststoffen'!$R$3:$AA$10,4,FALSE),0)</f>
        <v>0</v>
      </c>
      <c r="G49" s="99">
        <f>IFERROR(VLOOKUP(C49,'Te gebruiken meststoffen'!$R$3:$AA$10,5,FALSE),0)</f>
        <v>0</v>
      </c>
      <c r="H49" s="99">
        <f>IFERROR(VLOOKUP(C49,'Te gebruiken meststoffen'!$R$3:$AA$10,6,FALSE),0)</f>
        <v>0</v>
      </c>
      <c r="I49" s="99">
        <f>IFERROR(VLOOKUP(C49,'Te gebruiken meststoffen'!$R$3:$AA$10,7,FALSE),0)</f>
        <v>0</v>
      </c>
      <c r="J49" s="99">
        <f>IFERROR(VLOOKUP(C49,'Te gebruiken meststoffen'!$R$3:$AA$10,8,FALSE),0)</f>
        <v>0</v>
      </c>
      <c r="K49" s="99">
        <f>IFERROR(VLOOKUP(C49,'Te gebruiken meststoffen'!$R$3:$AA$10,9,FALSE),0)</f>
        <v>0</v>
      </c>
      <c r="L49" s="130">
        <f>IFERROR(VLOOKUP(C49,'Te gebruiken meststoffen'!$R$3:$AB$10,10,FALSE),0)</f>
        <v>0</v>
      </c>
      <c r="M49" s="99">
        <f>IFERROR(VLOOKUP(C49,'Te gebruiken meststoffen'!$R$3:$AH$10,17,FALSE),0)</f>
        <v>0</v>
      </c>
      <c r="N49" s="78">
        <f>IFERROR(VLOOKUP(C49,'Te gebruiken meststoffen'!$R$3:$AG$10,13,FALSE),0)</f>
        <v>0</v>
      </c>
      <c r="O49" s="78">
        <f>IFERROR(VLOOKUP(C49,'Te gebruiken meststoffen'!$R$3:$AG$10,14,FALSE),0)</f>
        <v>0</v>
      </c>
      <c r="P49" s="78">
        <f>IFERROR(VLOOKUP(C49,'Te gebruiken meststoffen'!$R$3:$AG$10,15,FALSE),0)</f>
        <v>0</v>
      </c>
      <c r="Q49" s="78">
        <f>IFERROR(VLOOKUP(C49,'Te gebruiken meststoffen'!$R$3:$AG$10,16,FALSE),0)</f>
        <v>0</v>
      </c>
      <c r="T49" s="149" t="e">
        <f>VLOOKUP(C49,'Te gebruiken meststoffen'!$R$3:$AB$10,11,FALSE)</f>
        <v>#N/A</v>
      </c>
    </row>
    <row r="50" spans="1:38" x14ac:dyDescent="0.3">
      <c r="C50" s="104" t="str">
        <f>IF(NOT('Te gebruiken meststoffen'!R8=0), 'Te gebruiken meststoffen'!R8,"")</f>
        <v/>
      </c>
      <c r="D50" s="86" t="str">
        <f>IFERROR(VLOOKUP(C50,'Te gebruiken meststoffen'!$R$3:$AA$10,2,FALSE),"")</f>
        <v/>
      </c>
      <c r="E50" s="99">
        <f>IFERROR(VLOOKUP(C50,'Te gebruiken meststoffen'!$R$3:$AA$10,3,FALSE),0)</f>
        <v>0</v>
      </c>
      <c r="F50" s="99">
        <f>IFERROR(VLOOKUP(C50,'Te gebruiken meststoffen'!$R$3:$AA$10,4,FALSE),0)</f>
        <v>0</v>
      </c>
      <c r="G50" s="99">
        <f>IFERROR(VLOOKUP(C50,'Te gebruiken meststoffen'!$R$3:$AA$10,5,FALSE),0)</f>
        <v>0</v>
      </c>
      <c r="H50" s="99">
        <f>IFERROR(VLOOKUP(C50,'Te gebruiken meststoffen'!$R$3:$AA$10,6,FALSE),0)</f>
        <v>0</v>
      </c>
      <c r="I50" s="99">
        <f>IFERROR(VLOOKUP(C50,'Te gebruiken meststoffen'!$R$3:$AA$10,7,FALSE),0)</f>
        <v>0</v>
      </c>
      <c r="J50" s="99">
        <f>IFERROR(VLOOKUP(C50,'Te gebruiken meststoffen'!$R$3:$AA$10,8,FALSE),0)</f>
        <v>0</v>
      </c>
      <c r="K50" s="99">
        <f>IFERROR(VLOOKUP(C50,'Te gebruiken meststoffen'!$R$3:$AA$10,9,FALSE),0)</f>
        <v>0</v>
      </c>
      <c r="L50" s="130">
        <f>IFERROR(VLOOKUP(C50,'Te gebruiken meststoffen'!$R$3:$AB$10,10,FALSE),0)</f>
        <v>0</v>
      </c>
      <c r="M50" s="99">
        <f>IFERROR(VLOOKUP(C50,'Te gebruiken meststoffen'!$R$3:$AH$10,17,FALSE),0)</f>
        <v>0</v>
      </c>
      <c r="N50" s="78">
        <f>IFERROR(VLOOKUP(C50,'Te gebruiken meststoffen'!$R$3:$AG$10,13,FALSE),0)</f>
        <v>0</v>
      </c>
      <c r="O50" s="78">
        <f>IFERROR(VLOOKUP(C50,'Te gebruiken meststoffen'!$R$3:$AG$10,14,FALSE),0)</f>
        <v>0</v>
      </c>
      <c r="P50" s="78">
        <f>IFERROR(VLOOKUP(C50,'Te gebruiken meststoffen'!$R$3:$AG$10,15,FALSE),0)</f>
        <v>0</v>
      </c>
      <c r="Q50" s="78">
        <f>IFERROR(VLOOKUP(C50,'Te gebruiken meststoffen'!$R$3:$AG$10,16,FALSE),0)</f>
        <v>0</v>
      </c>
      <c r="T50" s="149" t="e">
        <f>VLOOKUP(C50,'Te gebruiken meststoffen'!$R$3:$AB$10,11,FALSE)</f>
        <v>#N/A</v>
      </c>
    </row>
    <row r="51" spans="1:38" x14ac:dyDescent="0.3">
      <c r="C51" s="104" t="str">
        <f>IF(NOT('Te gebruiken meststoffen'!R9=0), 'Te gebruiken meststoffen'!R9,"")</f>
        <v/>
      </c>
      <c r="D51" s="86" t="str">
        <f>IFERROR(VLOOKUP(C51,'Te gebruiken meststoffen'!$R$3:$AA$10,2,FALSE),"")</f>
        <v/>
      </c>
      <c r="E51" s="99">
        <f>IFERROR(VLOOKUP(C51,'Te gebruiken meststoffen'!$R$3:$AA$10,3,FALSE),0)</f>
        <v>0</v>
      </c>
      <c r="F51" s="99">
        <f>IFERROR(VLOOKUP(C51,'Te gebruiken meststoffen'!$R$3:$AA$10,4,FALSE),0)</f>
        <v>0</v>
      </c>
      <c r="G51" s="99">
        <f>IFERROR(VLOOKUP(C51,'Te gebruiken meststoffen'!$R$3:$AA$10,5,FALSE),0)</f>
        <v>0</v>
      </c>
      <c r="H51" s="99">
        <f>IFERROR(VLOOKUP(C51,'Te gebruiken meststoffen'!$R$3:$AA$10,6,FALSE),0)</f>
        <v>0</v>
      </c>
      <c r="I51" s="99">
        <f>IFERROR(VLOOKUP(C51,'Te gebruiken meststoffen'!$R$3:$AA$10,7,FALSE),0)</f>
        <v>0</v>
      </c>
      <c r="J51" s="99">
        <f>IFERROR(VLOOKUP(C51,'Te gebruiken meststoffen'!$R$3:$AA$10,8,FALSE),0)</f>
        <v>0</v>
      </c>
      <c r="K51" s="99">
        <f>IFERROR(VLOOKUP(C51,'Te gebruiken meststoffen'!$R$3:$AA$10,9,FALSE),0)</f>
        <v>0</v>
      </c>
      <c r="L51" s="130">
        <f>IFERROR(VLOOKUP(C51,'Te gebruiken meststoffen'!$R$3:$AB$10,10,FALSE),0)</f>
        <v>0</v>
      </c>
      <c r="M51" s="99">
        <f>IFERROR(VLOOKUP(C51,'Te gebruiken meststoffen'!$R$3:$AH$10,17,FALSE),0)</f>
        <v>0</v>
      </c>
      <c r="N51" s="78">
        <f>IFERROR(VLOOKUP(C51,'Te gebruiken meststoffen'!$R$3:$AG$10,13,FALSE),0)</f>
        <v>0</v>
      </c>
      <c r="O51" s="78">
        <f>IFERROR(VLOOKUP(C51,'Te gebruiken meststoffen'!$R$3:$AG$10,14,FALSE),0)</f>
        <v>0</v>
      </c>
      <c r="P51" s="78">
        <f>IFERROR(VLOOKUP(C51,'Te gebruiken meststoffen'!$R$3:$AG$10,15,FALSE),0)</f>
        <v>0</v>
      </c>
      <c r="Q51" s="78">
        <f>IFERROR(VLOOKUP(C51,'Te gebruiken meststoffen'!$R$3:$AG$10,16,FALSE),0)</f>
        <v>0</v>
      </c>
      <c r="T51" s="149" t="e">
        <f>VLOOKUP(C51,'Te gebruiken meststoffen'!$R$3:$AB$10,11,FALSE)</f>
        <v>#N/A</v>
      </c>
    </row>
    <row r="52" spans="1:38" x14ac:dyDescent="0.3">
      <c r="C52" s="104" t="str">
        <f>IF(NOT('Te gebruiken meststoffen'!R10=0), 'Te gebruiken meststoffen'!R10,"")</f>
        <v/>
      </c>
      <c r="D52" s="86" t="str">
        <f>IFERROR(VLOOKUP(C52,'Te gebruiken meststoffen'!$R$3:$AA$10,2,FALSE),"")</f>
        <v/>
      </c>
      <c r="E52" s="99">
        <f>IFERROR(VLOOKUP(C52,'Te gebruiken meststoffen'!$R$3:$AA$10,3,FALSE),0)</f>
        <v>0</v>
      </c>
      <c r="F52" s="99">
        <f>IFERROR(VLOOKUP(C52,'Te gebruiken meststoffen'!$R$3:$AA$10,4,FALSE),0)</f>
        <v>0</v>
      </c>
      <c r="G52" s="99">
        <f>IFERROR(VLOOKUP(C52,'Te gebruiken meststoffen'!$R$3:$AA$10,5,FALSE),0)</f>
        <v>0</v>
      </c>
      <c r="H52" s="99">
        <f>IFERROR(VLOOKUP(C52,'Te gebruiken meststoffen'!$R$3:$AA$10,6,FALSE),0)</f>
        <v>0</v>
      </c>
      <c r="I52" s="99">
        <f>IFERROR(VLOOKUP(C52,'Te gebruiken meststoffen'!$R$3:$AA$10,7,FALSE),0)</f>
        <v>0</v>
      </c>
      <c r="J52" s="99">
        <f>IFERROR(VLOOKUP(C52,'Te gebruiken meststoffen'!$R$3:$AA$10,8,FALSE),0)</f>
        <v>0</v>
      </c>
      <c r="K52" s="99">
        <f>IFERROR(VLOOKUP(C52,'Te gebruiken meststoffen'!$R$3:$AA$10,9,FALSE),0)</f>
        <v>0</v>
      </c>
      <c r="L52" s="130">
        <f>IFERROR(VLOOKUP(C52,'Te gebruiken meststoffen'!$R$3:$AB$10,10,FALSE),0)</f>
        <v>0</v>
      </c>
      <c r="M52" s="144">
        <f>IFERROR(VLOOKUP(C52,'Te gebruiken meststoffen'!$R$3:$AH$10,17,FALSE),0)</f>
        <v>0</v>
      </c>
      <c r="N52" s="78">
        <f>IFERROR(VLOOKUP(C52,'Te gebruiken meststoffen'!$R$3:$AG$10,13,FALSE),0)</f>
        <v>0</v>
      </c>
      <c r="O52" s="78">
        <f>IFERROR(VLOOKUP(C52,'Te gebruiken meststoffen'!$R$3:$AG$10,14,FALSE),0)</f>
        <v>0</v>
      </c>
      <c r="P52" s="78">
        <f>IFERROR(VLOOKUP(C52,'Te gebruiken meststoffen'!$R$3:$AG$10,15,FALSE),0)</f>
        <v>0</v>
      </c>
      <c r="Q52" s="78">
        <f>IFERROR(VLOOKUP(C52,'Te gebruiken meststoffen'!$R$3:$AG$10,16,FALSE),0)</f>
        <v>0</v>
      </c>
      <c r="T52" s="149" t="e">
        <f>VLOOKUP(C52,'Te gebruiken meststoffen'!$R$3:$AB$10,11,FALSE)</f>
        <v>#N/A</v>
      </c>
    </row>
    <row r="53" spans="1:38" x14ac:dyDescent="0.3">
      <c r="C53" t="str">
        <f>IF(G4=1,_xlfn.CONCAT($G$3," ",G4),"")</f>
        <v/>
      </c>
      <c r="D53" t="str">
        <f>IF(C53="","","kg")</f>
        <v/>
      </c>
      <c r="E53" s="78" t="str">
        <f t="shared" ref="E53:G58" si="12">IF(C53="","",P4)</f>
        <v/>
      </c>
      <c r="F53" s="78" t="str">
        <f t="shared" si="12"/>
        <v/>
      </c>
      <c r="G53" s="78" t="str">
        <f t="shared" si="12"/>
        <v/>
      </c>
      <c r="M53" s="193"/>
      <c r="N53" s="78" t="str">
        <f t="shared" ref="N53:N58" si="13">F53</f>
        <v/>
      </c>
      <c r="T53" s="149" t="str">
        <f>IF(E53="","","DIERLIJKE")</f>
        <v/>
      </c>
    </row>
    <row r="54" spans="1:38" x14ac:dyDescent="0.3">
      <c r="C54" t="str">
        <f>IF(G5=2,_xlfn.CONCAT($G$3," ",G5),"")</f>
        <v/>
      </c>
      <c r="D54" t="str">
        <f t="shared" ref="D54:D58" si="14">IF(C54="","","kg")</f>
        <v/>
      </c>
      <c r="E54" s="78" t="str">
        <f t="shared" si="12"/>
        <v/>
      </c>
      <c r="F54" s="78" t="str">
        <f t="shared" si="12"/>
        <v/>
      </c>
      <c r="G54" s="78" t="str">
        <f t="shared" si="12"/>
        <v/>
      </c>
      <c r="M54" s="194"/>
      <c r="N54" s="78" t="str">
        <f t="shared" si="13"/>
        <v/>
      </c>
      <c r="T54" s="149" t="str">
        <f t="shared" ref="T54:T58" si="15">IF(E54="","","DIERLIJKE")</f>
        <v/>
      </c>
    </row>
    <row r="55" spans="1:38" x14ac:dyDescent="0.3">
      <c r="C55" t="str">
        <f>IF(G6=3,_xlfn.CONCAT($G$3," ",G6),"")</f>
        <v/>
      </c>
      <c r="D55" t="str">
        <f t="shared" si="14"/>
        <v/>
      </c>
      <c r="E55" s="78" t="str">
        <f t="shared" si="12"/>
        <v/>
      </c>
      <c r="F55" s="78" t="str">
        <f t="shared" si="12"/>
        <v/>
      </c>
      <c r="G55" s="78" t="str">
        <f t="shared" si="12"/>
        <v/>
      </c>
      <c r="M55" s="194"/>
      <c r="N55" s="78" t="str">
        <f t="shared" si="13"/>
        <v/>
      </c>
      <c r="T55" s="149" t="str">
        <f t="shared" si="15"/>
        <v/>
      </c>
    </row>
    <row r="56" spans="1:38" x14ac:dyDescent="0.3">
      <c r="C56" t="str">
        <f>IF(G7=4,_xlfn.CONCAT($G$3," ",G7),"")</f>
        <v/>
      </c>
      <c r="D56" t="str">
        <f t="shared" si="14"/>
        <v/>
      </c>
      <c r="E56" s="78" t="str">
        <f t="shared" si="12"/>
        <v/>
      </c>
      <c r="F56" s="78" t="str">
        <f t="shared" si="12"/>
        <v/>
      </c>
      <c r="G56" s="78" t="str">
        <f t="shared" si="12"/>
        <v/>
      </c>
      <c r="M56" s="189"/>
      <c r="N56" s="78" t="str">
        <f t="shared" si="13"/>
        <v/>
      </c>
      <c r="T56" s="149" t="str">
        <f t="shared" si="15"/>
        <v/>
      </c>
    </row>
    <row r="57" spans="1:38" x14ac:dyDescent="0.3">
      <c r="C57" t="str">
        <f>IF(G8=5,_xlfn.CONCAT($G$3," ",G8),"")</f>
        <v/>
      </c>
      <c r="D57" t="str">
        <f t="shared" si="14"/>
        <v/>
      </c>
      <c r="E57" s="78" t="str">
        <f t="shared" si="12"/>
        <v/>
      </c>
      <c r="F57" s="78" t="str">
        <f t="shared" si="12"/>
        <v/>
      </c>
      <c r="G57" s="78" t="str">
        <f t="shared" si="12"/>
        <v/>
      </c>
      <c r="M57" s="189"/>
      <c r="N57" s="78" t="str">
        <f t="shared" si="13"/>
        <v/>
      </c>
      <c r="T57" s="149" t="str">
        <f t="shared" si="15"/>
        <v/>
      </c>
    </row>
    <row r="58" spans="1:38" x14ac:dyDescent="0.3">
      <c r="C58" t="str">
        <f>IF(G9=6,_xlfn.CONCAT($G$3," ",G9),"")</f>
        <v/>
      </c>
      <c r="D58" t="str">
        <f t="shared" si="14"/>
        <v/>
      </c>
      <c r="E58" s="78" t="str">
        <f t="shared" si="12"/>
        <v/>
      </c>
      <c r="F58" s="78" t="str">
        <f t="shared" si="12"/>
        <v/>
      </c>
      <c r="G58" s="78" t="str">
        <f t="shared" si="12"/>
        <v/>
      </c>
      <c r="M58" s="189"/>
      <c r="N58" s="78" t="str">
        <f t="shared" si="13"/>
        <v/>
      </c>
      <c r="T58" s="149" t="str">
        <f t="shared" si="15"/>
        <v/>
      </c>
    </row>
    <row r="59" spans="1:38" ht="18" x14ac:dyDescent="0.35">
      <c r="C59" s="29" t="s">
        <v>463</v>
      </c>
      <c r="T59" s="147"/>
    </row>
    <row r="60" spans="1:38" ht="15" thickBot="1" x14ac:dyDescent="0.35"/>
    <row r="61" spans="1:38" ht="19.8" thickBot="1" x14ac:dyDescent="0.35">
      <c r="C61" s="47" t="s">
        <v>464</v>
      </c>
      <c r="D61" s="56" t="s">
        <v>532</v>
      </c>
      <c r="E61" s="56" t="s">
        <v>467</v>
      </c>
      <c r="F61" s="48" t="s">
        <v>470</v>
      </c>
      <c r="G61" s="48" t="s">
        <v>400</v>
      </c>
      <c r="H61" s="48" t="s">
        <v>414</v>
      </c>
      <c r="I61" s="48" t="s">
        <v>415</v>
      </c>
      <c r="J61" s="48" t="s">
        <v>416</v>
      </c>
      <c r="K61" s="48" t="s">
        <v>417</v>
      </c>
      <c r="L61" s="48" t="s">
        <v>418</v>
      </c>
      <c r="M61" s="57" t="s">
        <v>419</v>
      </c>
      <c r="N61" s="82" t="s">
        <v>510</v>
      </c>
      <c r="O61" s="48" t="s">
        <v>494</v>
      </c>
      <c r="P61" s="48" t="s">
        <v>491</v>
      </c>
      <c r="Q61" s="48" t="s">
        <v>492</v>
      </c>
      <c r="R61" s="57" t="s">
        <v>493</v>
      </c>
      <c r="S61" s="81" t="s">
        <v>608</v>
      </c>
      <c r="T61" s="136" t="s">
        <v>613</v>
      </c>
      <c r="U61" s="56"/>
      <c r="V61" s="56" t="s">
        <v>614</v>
      </c>
      <c r="W61" s="80" t="s">
        <v>616</v>
      </c>
      <c r="Y61" s="147" t="str">
        <f>_xlfn.CONCAT("Kostprijs bemesting ",C45," (EUR/ha)")</f>
        <v>Kostprijs bemesting  (EUR/ha)</v>
      </c>
      <c r="Z61" s="147" t="str">
        <f>_xlfn.CONCAT("Kostprijs bemesting ",C46," (EUR/ha)")</f>
        <v>Kostprijs bemesting  (EUR/ha)</v>
      </c>
      <c r="AA61" s="147" t="str">
        <f>_xlfn.CONCAT("Kostprijs bemesting ",C47," (EUR/ha)")</f>
        <v>Kostprijs bemesting  (EUR/ha)</v>
      </c>
      <c r="AB61" s="147" t="str">
        <f>_xlfn.CONCAT("Kostprijs bemesting ",C48," (EUR/ha)")</f>
        <v>Kostprijs bemesting  (EUR/ha)</v>
      </c>
      <c r="AC61" s="147" t="str">
        <f>_xlfn.CONCAT("Kostprijs bemesting ",C49," (EUR/ha)")</f>
        <v>Kostprijs bemesting  (EUR/ha)</v>
      </c>
      <c r="AD61" s="147" t="str">
        <f>_xlfn.CONCAT("Kostprijs bemesting ",C50," (EUR/ha)")</f>
        <v>Kostprijs bemesting  (EUR/ha)</v>
      </c>
      <c r="AE61" s="147" t="str">
        <f>_xlfn.CONCAT("Kostprijs bemesting ",C51," (EUR/ha)")</f>
        <v>Kostprijs bemesting  (EUR/ha)</v>
      </c>
      <c r="AF61" s="147" t="str">
        <f>_xlfn.CONCAT("Kostprijs bemesting ",C52," (EUR/ha)")</f>
        <v>Kostprijs bemesting  (EUR/ha)</v>
      </c>
      <c r="AG61" s="147" t="str">
        <f>_xlfn.CONCAT("Kostprijs bemesting ",C53," (EUR/ha)")</f>
        <v>Kostprijs bemesting  (EUR/ha)</v>
      </c>
      <c r="AH61" s="147" t="str">
        <f>_xlfn.CONCAT("Kostprijs bemesting ",C54," (EUR/ha)")</f>
        <v>Kostprijs bemesting  (EUR/ha)</v>
      </c>
      <c r="AI61" s="147" t="str">
        <f>_xlfn.CONCAT("Kostprijs bemesting ",C55," (EUR/ha)")</f>
        <v>Kostprijs bemesting  (EUR/ha)</v>
      </c>
      <c r="AJ61" s="147" t="str">
        <f>_xlfn.CONCAT("Kostprijs bemesting ",C56," (EUR/ha)")</f>
        <v>Kostprijs bemesting  (EUR/ha)</v>
      </c>
      <c r="AK61" s="147" t="str">
        <f>_xlfn.CONCAT("Kostprijs bemesting ",C57," (EUR/ha)")</f>
        <v>Kostprijs bemesting  (EUR/ha)</v>
      </c>
      <c r="AL61" s="147" t="str">
        <f>_xlfn.CONCAT("Kostprijs bemesting ",C58," (EUR/ha)")</f>
        <v>Kostprijs bemesting  (EUR/ha)</v>
      </c>
    </row>
    <row r="62" spans="1:38" ht="15" thickBot="1" x14ac:dyDescent="0.35">
      <c r="A62" s="128" t="s">
        <v>611</v>
      </c>
      <c r="C62" s="97" t="s">
        <v>465</v>
      </c>
      <c r="M62" s="43"/>
      <c r="T62" s="115"/>
      <c r="U62" s="76"/>
      <c r="V62" s="132"/>
      <c r="W62" s="133"/>
      <c r="Y62" s="147" t="str">
        <f>C45</f>
        <v/>
      </c>
      <c r="Z62" s="147" t="str">
        <f>C46</f>
        <v/>
      </c>
      <c r="AA62" s="147" t="str">
        <f>C47</f>
        <v/>
      </c>
      <c r="AB62" s="147" t="str">
        <f>C48</f>
        <v/>
      </c>
      <c r="AC62" s="147" t="str">
        <f>C49</f>
        <v/>
      </c>
      <c r="AD62" s="147" t="str">
        <f>C50</f>
        <v/>
      </c>
      <c r="AE62" s="147" t="str">
        <f>C51</f>
        <v/>
      </c>
      <c r="AF62" s="147" t="str">
        <f>C52</f>
        <v/>
      </c>
      <c r="AG62" s="147" t="str">
        <f>C53</f>
        <v/>
      </c>
      <c r="AH62" s="147" t="str">
        <f>C54</f>
        <v/>
      </c>
      <c r="AI62" s="147" t="str">
        <f>C55</f>
        <v/>
      </c>
      <c r="AJ62" s="147" t="str">
        <f>C56</f>
        <v/>
      </c>
      <c r="AK62" s="147" t="str">
        <f>C57</f>
        <v/>
      </c>
      <c r="AL62" s="147" t="str">
        <f>C58</f>
        <v/>
      </c>
    </row>
    <row r="63" spans="1:38" x14ac:dyDescent="0.3">
      <c r="A63" s="195"/>
      <c r="C63" s="198"/>
      <c r="D63" s="199"/>
      <c r="E63" s="35" t="str">
        <f>_xlfn.IFNA(VLOOKUP(C63,'Te gebruiken meststoffen'!$R$3:$AC$10,12,FALSE),"")</f>
        <v/>
      </c>
      <c r="F63" s="50">
        <f>D63*(IFERROR(VLOOKUP(C63,$C$45:$Q$58,3,FALSE),0))</f>
        <v>0</v>
      </c>
      <c r="G63" s="50">
        <f>O63</f>
        <v>0</v>
      </c>
      <c r="H63" s="50">
        <f t="shared" ref="H63:H68" si="16">D63*(IFERROR(VLOOKUP(C63,$C$45:$Q$58,5,FALSE),0))</f>
        <v>0</v>
      </c>
      <c r="I63" s="50">
        <f>D63*(IFERROR(VLOOKUP(C63,$C$45:$Q$58,6,FALSE),0))</f>
        <v>0</v>
      </c>
      <c r="J63" s="50">
        <f t="shared" ref="J63:J68" si="17">D63*(IFERROR(VLOOKUP(C63,$C$45:$Q$58,7,FALSE),0))</f>
        <v>0</v>
      </c>
      <c r="K63" s="50">
        <f t="shared" ref="K63:K68" si="18">D63*(IFERROR(VLOOKUP(C63,$C$45:$Q$58,8,FALSE),0))</f>
        <v>0</v>
      </c>
      <c r="L63" s="50">
        <f t="shared" ref="L63:L68" si="19">D63*(IFERROR(VLOOKUP(C63,$C$45:$Q$58,9,FALSE),0))</f>
        <v>0</v>
      </c>
      <c r="M63" s="51">
        <f t="shared" ref="M63:M68" si="20">D63*(IFERROR(VLOOKUP(C63,$C$45:$Q$58,10,FALSE),0))</f>
        <v>0</v>
      </c>
      <c r="N63">
        <f>O63</f>
        <v>0</v>
      </c>
      <c r="O63">
        <f t="shared" ref="O63:O68" si="21">D63*(IFERROR(VLOOKUP(C63,$C$45:$Q$58,12,FALSE),0))</f>
        <v>0</v>
      </c>
      <c r="P63">
        <f t="shared" ref="P63:P68" si="22">D63*(IFERROR(VLOOKUP(C63,$C$45:$Q$58,13,FALSE),0))</f>
        <v>0</v>
      </c>
      <c r="Q63">
        <f t="shared" ref="Q63:Q68" si="23">D63*(IFERROR(VLOOKUP(C63,$C$45:$Q$58,14,FALSE),0))</f>
        <v>0</v>
      </c>
      <c r="R63">
        <f t="shared" ref="R63:R68" si="24">D63*(IFERROR(VLOOKUP(C63,$C$45:$Q$58,15,FALSE),0))</f>
        <v>0</v>
      </c>
      <c r="S63">
        <f t="shared" ref="S63:S68" si="25">IF(F63&gt;0,F63,G63)</f>
        <v>0</v>
      </c>
      <c r="T63" s="34" t="str">
        <f>IF(D63="","",D63*$D$9)</f>
        <v/>
      </c>
      <c r="U63" s="35" t="str">
        <f>IF(D63="","",E63)</f>
        <v/>
      </c>
      <c r="V63" s="35" t="str">
        <f>IF(D63="","",D63*(VLOOKUP(C63,$C$45:$M$58,11,FALSE)))</f>
        <v/>
      </c>
      <c r="W63" s="36" t="str">
        <f>IF(T63="","",T63*(VLOOKUP(C63,$C$45:$M$58,11,FALSE)))</f>
        <v/>
      </c>
      <c r="Y63" s="147" t="str">
        <f>IF(C63=$C$45,V63,"")</f>
        <v/>
      </c>
      <c r="Z63" s="147" t="str">
        <f>IF(C63=$C$46,V63,"")</f>
        <v/>
      </c>
      <c r="AA63" s="147" t="str">
        <f>IF(C63=$C$47,V63,"")</f>
        <v/>
      </c>
      <c r="AB63" s="147" t="str">
        <f>IF(C63=$C$48,V63,"")</f>
        <v/>
      </c>
      <c r="AC63" s="147" t="str">
        <f>IF(C63=$C$49,V63,"")</f>
        <v/>
      </c>
      <c r="AD63" s="147" t="str">
        <f>IF(C63=$C$50,V63,"")</f>
        <v/>
      </c>
      <c r="AE63" s="147" t="str">
        <f>IF(C63=$C$51,V63,"")</f>
        <v/>
      </c>
      <c r="AF63" s="147" t="str">
        <f>IF(C63=$C$52,V63,"")</f>
        <v/>
      </c>
      <c r="AG63" s="147" t="str">
        <f>IF(C63=$C$53,V63,"")</f>
        <v/>
      </c>
      <c r="AH63" s="147" t="str">
        <f>IF(C63=$C$54,V63,"")</f>
        <v/>
      </c>
      <c r="AI63" s="147" t="str">
        <f>IF(C63=$C$55,V63,"")</f>
        <v/>
      </c>
      <c r="AJ63" s="147" t="str">
        <f>IF(C63=$C$56,V63,"")</f>
        <v/>
      </c>
      <c r="AK63" s="147" t="str">
        <f>IF(C63=$C$57,V63,"")</f>
        <v/>
      </c>
      <c r="AL63" s="147" t="str">
        <f>IF(C63=$C$58,V63,"")</f>
        <v/>
      </c>
    </row>
    <row r="64" spans="1:38" x14ac:dyDescent="0.3">
      <c r="A64" s="196"/>
      <c r="C64" s="200"/>
      <c r="D64" s="201"/>
      <c r="E64" t="str">
        <f>_xlfn.IFNA(VLOOKUP(C64,'Te gebruiken meststoffen'!$R$3:$AC$10,12,FALSE),"")</f>
        <v/>
      </c>
      <c r="F64" s="52">
        <f>D64*(IFERROR(VLOOKUP(C64,$C$45:$Q$58,3,FALSE),0))</f>
        <v>0</v>
      </c>
      <c r="G64" s="52">
        <f t="shared" ref="G64:G68" si="26">O64</f>
        <v>0</v>
      </c>
      <c r="H64" s="52">
        <f t="shared" si="16"/>
        <v>0</v>
      </c>
      <c r="I64" s="52">
        <f t="shared" ref="I64:I68" si="27">D64*(IFERROR(VLOOKUP(C64,$C$45:$Q$58,6,FALSE),0))</f>
        <v>0</v>
      </c>
      <c r="J64" s="52">
        <f t="shared" si="17"/>
        <v>0</v>
      </c>
      <c r="K64" s="52">
        <f t="shared" si="18"/>
        <v>0</v>
      </c>
      <c r="L64" s="52">
        <f t="shared" si="19"/>
        <v>0</v>
      </c>
      <c r="M64" s="53">
        <f t="shared" si="20"/>
        <v>0</v>
      </c>
      <c r="N64">
        <f>O64</f>
        <v>0</v>
      </c>
      <c r="O64">
        <f t="shared" si="21"/>
        <v>0</v>
      </c>
      <c r="P64">
        <f t="shared" si="22"/>
        <v>0</v>
      </c>
      <c r="Q64">
        <f t="shared" si="23"/>
        <v>0</v>
      </c>
      <c r="R64">
        <f t="shared" si="24"/>
        <v>0</v>
      </c>
      <c r="S64">
        <f t="shared" si="25"/>
        <v>0</v>
      </c>
      <c r="T64" s="40" t="str">
        <f t="shared" ref="T64:T68" si="28">IF(D64="","",D64*$D$9)</f>
        <v/>
      </c>
      <c r="U64" t="str">
        <f t="shared" ref="U64:U68" si="29">IF(D64="","",E64)</f>
        <v/>
      </c>
      <c r="V64" t="str">
        <f t="shared" ref="V64:V68" si="30">IF(D64="","",D64*(VLOOKUP(C64,$C$45:$M$58,11,FALSE)))</f>
        <v/>
      </c>
      <c r="W64" s="43" t="str">
        <f t="shared" ref="W64:W68" si="31">IF(T64="","",T64*(VLOOKUP(C64,$C$45:$M$58,11,FALSE)))</f>
        <v/>
      </c>
      <c r="Y64" s="147" t="str">
        <f t="shared" ref="Y64:Y108" si="32">IF(C64=$C$45,V64,"")</f>
        <v/>
      </c>
      <c r="Z64" s="147" t="str">
        <f t="shared" ref="Z64:Z108" si="33">IF(C64=$C$46,V64,"")</f>
        <v/>
      </c>
      <c r="AA64" s="147" t="str">
        <f t="shared" ref="AA64:AA108" si="34">IF(C64=$C$47,V64,"")</f>
        <v/>
      </c>
      <c r="AB64" s="147" t="str">
        <f t="shared" ref="AB64:AB108" si="35">IF(C64=$C$48,V64,"")</f>
        <v/>
      </c>
      <c r="AC64" s="147" t="str">
        <f t="shared" ref="AC64:AC108" si="36">IF(C64=$C$49,V64,"")</f>
        <v/>
      </c>
      <c r="AD64" s="147" t="str">
        <f t="shared" ref="AD64:AD108" si="37">IF(C64=$C$50,V64,"")</f>
        <v/>
      </c>
      <c r="AE64" s="147" t="str">
        <f t="shared" ref="AE64:AE108" si="38">IF(C64=$C$51,V64,"")</f>
        <v/>
      </c>
      <c r="AF64" s="147" t="str">
        <f t="shared" ref="AF64:AF108" si="39">IF(C64=$C$52,V64,"")</f>
        <v/>
      </c>
      <c r="AG64" s="147" t="str">
        <f t="shared" ref="AG64:AG108" si="40">IF(C64=$C$53,V64,"")</f>
        <v/>
      </c>
      <c r="AH64" s="147" t="str">
        <f t="shared" ref="AH64:AH108" si="41">IF(C64=$C$54,V64,"")</f>
        <v/>
      </c>
      <c r="AI64" s="147" t="str">
        <f t="shared" ref="AI64:AI108" si="42">IF(C64=$C$55,V64,"")</f>
        <v/>
      </c>
      <c r="AJ64" s="147" t="str">
        <f t="shared" ref="AJ64:AJ108" si="43">IF(C64=$C$56,V64,"")</f>
        <v/>
      </c>
      <c r="AK64" s="147" t="str">
        <f t="shared" ref="AK64:AK108" si="44">IF(C64=$C$57,V64,"")</f>
        <v/>
      </c>
      <c r="AL64" s="147" t="str">
        <f t="shared" ref="AL64:AL108" si="45">IF(C64=$C$58,V64,"")</f>
        <v/>
      </c>
    </row>
    <row r="65" spans="1:38" x14ac:dyDescent="0.3">
      <c r="A65" s="196"/>
      <c r="C65" s="200"/>
      <c r="D65" s="201"/>
      <c r="E65" t="str">
        <f>_xlfn.IFNA(VLOOKUP(C65,'Te gebruiken meststoffen'!$R$3:$AC$10,12,FALSE),"")</f>
        <v/>
      </c>
      <c r="F65" s="52">
        <f t="shared" ref="F65:F68" si="46">D65*(IFERROR(VLOOKUP(C65,$C$45:$Q$58,3,FALSE),0))</f>
        <v>0</v>
      </c>
      <c r="G65" s="52">
        <f t="shared" si="26"/>
        <v>0</v>
      </c>
      <c r="H65" s="52">
        <f t="shared" si="16"/>
        <v>0</v>
      </c>
      <c r="I65" s="52">
        <f t="shared" si="27"/>
        <v>0</v>
      </c>
      <c r="J65" s="52">
        <f t="shared" si="17"/>
        <v>0</v>
      </c>
      <c r="K65" s="52">
        <f t="shared" si="18"/>
        <v>0</v>
      </c>
      <c r="L65" s="52">
        <f t="shared" si="19"/>
        <v>0</v>
      </c>
      <c r="M65" s="53">
        <f t="shared" si="20"/>
        <v>0</v>
      </c>
      <c r="N65">
        <f t="shared" ref="N65:N68" si="47">O65</f>
        <v>0</v>
      </c>
      <c r="O65">
        <f t="shared" si="21"/>
        <v>0</v>
      </c>
      <c r="P65">
        <f t="shared" si="22"/>
        <v>0</v>
      </c>
      <c r="Q65">
        <f t="shared" si="23"/>
        <v>0</v>
      </c>
      <c r="R65">
        <f t="shared" si="24"/>
        <v>0</v>
      </c>
      <c r="S65">
        <f t="shared" si="25"/>
        <v>0</v>
      </c>
      <c r="T65" s="40" t="str">
        <f t="shared" si="28"/>
        <v/>
      </c>
      <c r="U65" t="str">
        <f t="shared" si="29"/>
        <v/>
      </c>
      <c r="V65" t="str">
        <f t="shared" si="30"/>
        <v/>
      </c>
      <c r="W65" s="43" t="str">
        <f t="shared" si="31"/>
        <v/>
      </c>
      <c r="Y65" s="147" t="str">
        <f t="shared" si="32"/>
        <v/>
      </c>
      <c r="Z65" s="147" t="str">
        <f t="shared" si="33"/>
        <v/>
      </c>
      <c r="AA65" s="147" t="str">
        <f t="shared" si="34"/>
        <v/>
      </c>
      <c r="AB65" s="147" t="str">
        <f t="shared" si="35"/>
        <v/>
      </c>
      <c r="AC65" s="147" t="str">
        <f t="shared" si="36"/>
        <v/>
      </c>
      <c r="AD65" s="147" t="str">
        <f t="shared" si="37"/>
        <v/>
      </c>
      <c r="AE65" s="147" t="str">
        <f t="shared" si="38"/>
        <v/>
      </c>
      <c r="AF65" s="147" t="str">
        <f t="shared" si="39"/>
        <v/>
      </c>
      <c r="AG65" s="147" t="str">
        <f t="shared" si="40"/>
        <v/>
      </c>
      <c r="AH65" s="147" t="str">
        <f t="shared" si="41"/>
        <v/>
      </c>
      <c r="AI65" s="147" t="str">
        <f t="shared" si="42"/>
        <v/>
      </c>
      <c r="AJ65" s="147" t="str">
        <f t="shared" si="43"/>
        <v/>
      </c>
      <c r="AK65" s="147" t="str">
        <f t="shared" si="44"/>
        <v/>
      </c>
      <c r="AL65" s="147" t="str">
        <f t="shared" si="45"/>
        <v/>
      </c>
    </row>
    <row r="66" spans="1:38" x14ac:dyDescent="0.3">
      <c r="A66" s="196"/>
      <c r="C66" s="200"/>
      <c r="D66" s="201"/>
      <c r="E66" t="str">
        <f>_xlfn.IFNA(VLOOKUP(C66,'Te gebruiken meststoffen'!$R$3:$AC$10,12,FALSE),"")</f>
        <v/>
      </c>
      <c r="F66" s="52">
        <f t="shared" si="46"/>
        <v>0</v>
      </c>
      <c r="G66" s="52">
        <f t="shared" si="26"/>
        <v>0</v>
      </c>
      <c r="H66" s="52">
        <f t="shared" si="16"/>
        <v>0</v>
      </c>
      <c r="I66" s="52">
        <f t="shared" si="27"/>
        <v>0</v>
      </c>
      <c r="J66" s="52">
        <f t="shared" si="17"/>
        <v>0</v>
      </c>
      <c r="K66" s="52">
        <f t="shared" si="18"/>
        <v>0</v>
      </c>
      <c r="L66" s="52">
        <f t="shared" si="19"/>
        <v>0</v>
      </c>
      <c r="M66" s="53">
        <f t="shared" si="20"/>
        <v>0</v>
      </c>
      <c r="N66">
        <f t="shared" si="47"/>
        <v>0</v>
      </c>
      <c r="O66">
        <f t="shared" si="21"/>
        <v>0</v>
      </c>
      <c r="P66">
        <f t="shared" si="22"/>
        <v>0</v>
      </c>
      <c r="Q66">
        <f t="shared" si="23"/>
        <v>0</v>
      </c>
      <c r="R66">
        <f t="shared" si="24"/>
        <v>0</v>
      </c>
      <c r="S66">
        <f t="shared" si="25"/>
        <v>0</v>
      </c>
      <c r="T66" s="40" t="str">
        <f t="shared" si="28"/>
        <v/>
      </c>
      <c r="U66" t="str">
        <f t="shared" si="29"/>
        <v/>
      </c>
      <c r="V66" t="str">
        <f t="shared" si="30"/>
        <v/>
      </c>
      <c r="W66" s="43" t="str">
        <f t="shared" si="31"/>
        <v/>
      </c>
      <c r="Y66" s="147" t="str">
        <f t="shared" si="32"/>
        <v/>
      </c>
      <c r="Z66" s="147" t="str">
        <f t="shared" si="33"/>
        <v/>
      </c>
      <c r="AA66" s="147" t="str">
        <f t="shared" si="34"/>
        <v/>
      </c>
      <c r="AB66" s="147" t="str">
        <f t="shared" si="35"/>
        <v/>
      </c>
      <c r="AC66" s="147" t="str">
        <f t="shared" si="36"/>
        <v/>
      </c>
      <c r="AD66" s="147" t="str">
        <f t="shared" si="37"/>
        <v/>
      </c>
      <c r="AE66" s="147" t="str">
        <f t="shared" si="38"/>
        <v/>
      </c>
      <c r="AF66" s="147" t="str">
        <f t="shared" si="39"/>
        <v/>
      </c>
      <c r="AG66" s="147" t="str">
        <f t="shared" si="40"/>
        <v/>
      </c>
      <c r="AH66" s="147" t="str">
        <f t="shared" si="41"/>
        <v/>
      </c>
      <c r="AI66" s="147" t="str">
        <f t="shared" si="42"/>
        <v/>
      </c>
      <c r="AJ66" s="147" t="str">
        <f t="shared" si="43"/>
        <v/>
      </c>
      <c r="AK66" s="147" t="str">
        <f t="shared" si="44"/>
        <v/>
      </c>
      <c r="AL66" s="147" t="str">
        <f t="shared" si="45"/>
        <v/>
      </c>
    </row>
    <row r="67" spans="1:38" x14ac:dyDescent="0.3">
      <c r="A67" s="196"/>
      <c r="C67" s="200"/>
      <c r="D67" s="201"/>
      <c r="E67" t="str">
        <f>_xlfn.IFNA(VLOOKUP(C67,'Te gebruiken meststoffen'!$R$3:$AC$10,12,FALSE),"")</f>
        <v/>
      </c>
      <c r="F67" s="52">
        <f t="shared" si="46"/>
        <v>0</v>
      </c>
      <c r="G67" s="52">
        <f t="shared" si="26"/>
        <v>0</v>
      </c>
      <c r="H67" s="52">
        <f t="shared" si="16"/>
        <v>0</v>
      </c>
      <c r="I67" s="52">
        <f t="shared" si="27"/>
        <v>0</v>
      </c>
      <c r="J67" s="52">
        <f t="shared" si="17"/>
        <v>0</v>
      </c>
      <c r="K67" s="52">
        <f t="shared" si="18"/>
        <v>0</v>
      </c>
      <c r="L67" s="52">
        <f t="shared" si="19"/>
        <v>0</v>
      </c>
      <c r="M67" s="53">
        <f t="shared" si="20"/>
        <v>0</v>
      </c>
      <c r="N67">
        <f t="shared" si="47"/>
        <v>0</v>
      </c>
      <c r="O67">
        <f t="shared" si="21"/>
        <v>0</v>
      </c>
      <c r="P67">
        <f t="shared" si="22"/>
        <v>0</v>
      </c>
      <c r="Q67">
        <f t="shared" si="23"/>
        <v>0</v>
      </c>
      <c r="R67">
        <f t="shared" si="24"/>
        <v>0</v>
      </c>
      <c r="S67">
        <f t="shared" si="25"/>
        <v>0</v>
      </c>
      <c r="T67" s="40" t="str">
        <f t="shared" si="28"/>
        <v/>
      </c>
      <c r="U67" t="str">
        <f t="shared" si="29"/>
        <v/>
      </c>
      <c r="V67" t="str">
        <f>IF(D67="","",D67*(VLOOKUP(C67,$C$45:$M$58,11,FALSE)))</f>
        <v/>
      </c>
      <c r="W67" s="43" t="str">
        <f t="shared" si="31"/>
        <v/>
      </c>
      <c r="Y67" s="147" t="str">
        <f t="shared" si="32"/>
        <v/>
      </c>
      <c r="Z67" s="147" t="str">
        <f t="shared" si="33"/>
        <v/>
      </c>
      <c r="AA67" s="147" t="str">
        <f t="shared" si="34"/>
        <v/>
      </c>
      <c r="AB67" s="147" t="str">
        <f t="shared" si="35"/>
        <v/>
      </c>
      <c r="AC67" s="147" t="str">
        <f t="shared" si="36"/>
        <v/>
      </c>
      <c r="AD67" s="147" t="str">
        <f t="shared" si="37"/>
        <v/>
      </c>
      <c r="AE67" s="147" t="str">
        <f t="shared" si="38"/>
        <v/>
      </c>
      <c r="AF67" s="147" t="str">
        <f t="shared" si="39"/>
        <v/>
      </c>
      <c r="AG67" s="147" t="str">
        <f t="shared" si="40"/>
        <v/>
      </c>
      <c r="AH67" s="147" t="str">
        <f t="shared" si="41"/>
        <v/>
      </c>
      <c r="AI67" s="147" t="str">
        <f t="shared" si="42"/>
        <v/>
      </c>
      <c r="AJ67" s="147" t="str">
        <f t="shared" si="43"/>
        <v/>
      </c>
      <c r="AK67" s="147" t="str">
        <f t="shared" si="44"/>
        <v/>
      </c>
      <c r="AL67" s="147" t="str">
        <f t="shared" si="45"/>
        <v/>
      </c>
    </row>
    <row r="68" spans="1:38" ht="15" thickBot="1" x14ac:dyDescent="0.35">
      <c r="A68" s="197"/>
      <c r="C68" s="202"/>
      <c r="D68" s="203"/>
      <c r="E68" s="38" t="str">
        <f>_xlfn.IFNA(VLOOKUP(C68,'Te gebruiken meststoffen'!$R$3:$AC$10,12,FALSE),"")</f>
        <v/>
      </c>
      <c r="F68" s="54">
        <f t="shared" si="46"/>
        <v>0</v>
      </c>
      <c r="G68" s="54">
        <f t="shared" si="26"/>
        <v>0</v>
      </c>
      <c r="H68" s="54">
        <f t="shared" si="16"/>
        <v>0</v>
      </c>
      <c r="I68" s="54">
        <f t="shared" si="27"/>
        <v>0</v>
      </c>
      <c r="J68" s="54">
        <f t="shared" si="17"/>
        <v>0</v>
      </c>
      <c r="K68" s="54">
        <f t="shared" si="18"/>
        <v>0</v>
      </c>
      <c r="L68" s="54">
        <f t="shared" si="19"/>
        <v>0</v>
      </c>
      <c r="M68" s="55">
        <f t="shared" si="20"/>
        <v>0</v>
      </c>
      <c r="N68">
        <f t="shared" si="47"/>
        <v>0</v>
      </c>
      <c r="O68">
        <f t="shared" si="21"/>
        <v>0</v>
      </c>
      <c r="P68">
        <f t="shared" si="22"/>
        <v>0</v>
      </c>
      <c r="Q68">
        <f t="shared" si="23"/>
        <v>0</v>
      </c>
      <c r="R68">
        <f t="shared" si="24"/>
        <v>0</v>
      </c>
      <c r="S68">
        <f t="shared" si="25"/>
        <v>0</v>
      </c>
      <c r="T68" s="37" t="str">
        <f t="shared" si="28"/>
        <v/>
      </c>
      <c r="U68" s="38" t="str">
        <f t="shared" si="29"/>
        <v/>
      </c>
      <c r="V68" s="38" t="str">
        <f t="shared" si="30"/>
        <v/>
      </c>
      <c r="W68" s="39" t="str">
        <f t="shared" si="31"/>
        <v/>
      </c>
      <c r="Y68" s="147" t="str">
        <f t="shared" si="32"/>
        <v/>
      </c>
      <c r="Z68" s="147" t="str">
        <f t="shared" si="33"/>
        <v/>
      </c>
      <c r="AA68" s="147" t="str">
        <f t="shared" si="34"/>
        <v/>
      </c>
      <c r="AB68" s="147" t="str">
        <f t="shared" si="35"/>
        <v/>
      </c>
      <c r="AC68" s="147" t="str">
        <f t="shared" si="36"/>
        <v/>
      </c>
      <c r="AD68" s="147" t="str">
        <f t="shared" si="37"/>
        <v/>
      </c>
      <c r="AE68" s="147" t="str">
        <f t="shared" si="38"/>
        <v/>
      </c>
      <c r="AF68" s="147" t="str">
        <f t="shared" si="39"/>
        <v/>
      </c>
      <c r="AG68" s="147" t="str">
        <f t="shared" si="40"/>
        <v/>
      </c>
      <c r="AH68" s="147" t="str">
        <f t="shared" si="41"/>
        <v/>
      </c>
      <c r="AI68" s="147" t="str">
        <f t="shared" si="42"/>
        <v/>
      </c>
      <c r="AJ68" s="147" t="str">
        <f t="shared" si="43"/>
        <v/>
      </c>
      <c r="AK68" s="147" t="str">
        <f t="shared" si="44"/>
        <v/>
      </c>
      <c r="AL68" s="147" t="str">
        <f t="shared" si="45"/>
        <v/>
      </c>
    </row>
    <row r="69" spans="1:38" ht="15" thickBot="1" x14ac:dyDescent="0.35">
      <c r="C69" s="37"/>
      <c r="D69" s="38"/>
      <c r="E69" s="109" t="s">
        <v>504</v>
      </c>
      <c r="F69" s="110">
        <f t="shared" ref="F69:M69" si="48">SUM(F63:F68)</f>
        <v>0</v>
      </c>
      <c r="G69" s="110">
        <f>SUM(G63:G68)</f>
        <v>0</v>
      </c>
      <c r="H69" s="110">
        <f t="shared" si="48"/>
        <v>0</v>
      </c>
      <c r="I69" s="110">
        <f t="shared" si="48"/>
        <v>0</v>
      </c>
      <c r="J69" s="110">
        <f t="shared" si="48"/>
        <v>0</v>
      </c>
      <c r="K69" s="110">
        <f t="shared" si="48"/>
        <v>0</v>
      </c>
      <c r="L69" s="110">
        <f t="shared" si="48"/>
        <v>0</v>
      </c>
      <c r="M69" s="111">
        <f t="shared" si="48"/>
        <v>0</v>
      </c>
      <c r="N69" s="60">
        <f>SUM(O63:O68)</f>
        <v>0</v>
      </c>
      <c r="S69">
        <f>SUM(S63:S68)</f>
        <v>0</v>
      </c>
      <c r="T69" s="138"/>
      <c r="U69" s="139"/>
      <c r="V69" s="139">
        <f>SUM(V63:V68)</f>
        <v>0</v>
      </c>
      <c r="W69" s="140">
        <f>SUM(W63:W68)</f>
        <v>0</v>
      </c>
      <c r="Y69" s="147"/>
      <c r="Z69" s="147"/>
      <c r="AA69" s="147"/>
      <c r="AB69" s="147"/>
      <c r="AC69" s="147"/>
      <c r="AD69" s="147"/>
      <c r="AE69" s="147"/>
      <c r="AF69" s="147"/>
      <c r="AG69" s="147"/>
      <c r="AH69" s="147"/>
      <c r="AI69" s="147"/>
      <c r="AJ69" s="147"/>
      <c r="AK69" s="147"/>
      <c r="AL69" s="147"/>
    </row>
    <row r="70" spans="1:38" ht="15" thickBot="1" x14ac:dyDescent="0.35">
      <c r="A70" s="128" t="s">
        <v>611</v>
      </c>
      <c r="C70" s="115" t="s">
        <v>499</v>
      </c>
      <c r="D70" s="113" t="s">
        <v>619</v>
      </c>
      <c r="E70" s="76"/>
      <c r="F70" s="76"/>
      <c r="G70" s="146">
        <f>N77-SUM(G71:G76)</f>
        <v>0</v>
      </c>
      <c r="H70" s="76"/>
      <c r="I70" s="76"/>
      <c r="J70" s="76"/>
      <c r="K70" s="76"/>
      <c r="L70" s="76"/>
      <c r="M70" s="77"/>
      <c r="S70">
        <f>SUM(S71:S76)</f>
        <v>0</v>
      </c>
      <c r="T70" s="75"/>
      <c r="U70" s="76"/>
      <c r="V70" s="76"/>
      <c r="W70" s="77"/>
      <c r="Y70" s="147"/>
      <c r="Z70" s="147"/>
      <c r="AA70" s="147"/>
      <c r="AB70" s="147"/>
      <c r="AC70" s="147"/>
      <c r="AD70" s="147"/>
      <c r="AE70" s="147"/>
      <c r="AF70" s="147"/>
      <c r="AG70" s="147"/>
      <c r="AH70" s="147"/>
      <c r="AI70" s="147"/>
      <c r="AJ70" s="147"/>
      <c r="AK70" s="147"/>
      <c r="AL70" s="147"/>
    </row>
    <row r="71" spans="1:38" x14ac:dyDescent="0.3">
      <c r="A71" s="195"/>
      <c r="C71" s="198"/>
      <c r="D71" s="199"/>
      <c r="E71" s="35" t="str">
        <f>_xlfn.IFNA(VLOOKUP(C71,'Te gebruiken meststoffen'!$R$3:$AC$10,12,FALSE),"")</f>
        <v/>
      </c>
      <c r="F71" s="50">
        <f t="shared" ref="F71:F76" si="49">D71*(IFERROR(VLOOKUP(C71,$C$45:$Q$58,3,FALSE),0))</f>
        <v>0</v>
      </c>
      <c r="G71" s="50">
        <f>O71</f>
        <v>0</v>
      </c>
      <c r="H71" s="50">
        <f t="shared" ref="H71:H76" si="50">D71*(IFERROR(VLOOKUP(C71,$C$45:$Q$58,5,FALSE),0))</f>
        <v>0</v>
      </c>
      <c r="I71" s="50">
        <f t="shared" ref="I71:I76" si="51">D71*(IFERROR(VLOOKUP(C71,$C$45:$Q$58,6,FALSE),0))</f>
        <v>0</v>
      </c>
      <c r="J71" s="50">
        <f t="shared" ref="J71:J76" si="52">D71*(IFERROR(VLOOKUP(C71,$C$45:$Q$58,7,FALSE),0))</f>
        <v>0</v>
      </c>
      <c r="K71" s="50">
        <f t="shared" ref="K71:K76" si="53">D71*(IFERROR(VLOOKUP(C71,$C$45:$Q$58,8,FALSE),0))</f>
        <v>0</v>
      </c>
      <c r="L71" s="50">
        <f t="shared" ref="L71:L76" si="54">D71*(IFERROR(VLOOKUP(C71,$C$45:$Q$58,9,FALSE),0))</f>
        <v>0</v>
      </c>
      <c r="M71" s="51">
        <f t="shared" ref="M71:M76" si="55">D71*(IFERROR(VLOOKUP(C71,$C$45:$Q$58,10,FALSE),0))</f>
        <v>0</v>
      </c>
      <c r="N71">
        <f>O71+P63</f>
        <v>0</v>
      </c>
      <c r="O71">
        <f t="shared" ref="O71:O76" si="56">D71*(IFERROR(VLOOKUP(C71,$C$45:$Q$58,12,FALSE),0))</f>
        <v>0</v>
      </c>
      <c r="P71">
        <f t="shared" ref="P71:P76" si="57">D71*(IFERROR(VLOOKUP(C71,$C$45:$Q$58,13,FALSE),0))</f>
        <v>0</v>
      </c>
      <c r="Q71">
        <f t="shared" ref="Q71:Q76" si="58">D71*(IFERROR(VLOOKUP(C71,$C$45:$Q$58,14,FALSE),0))</f>
        <v>0</v>
      </c>
      <c r="R71">
        <f t="shared" ref="R71:R76" si="59">D71*(IFERROR(VLOOKUP(C71,$C$45:$Q$58,15,FALSE),0))</f>
        <v>0</v>
      </c>
      <c r="S71">
        <f t="shared" ref="S71:S76" si="60">IF(F71&gt;0,F71,G71)</f>
        <v>0</v>
      </c>
      <c r="T71" s="34" t="str">
        <f>IF(D71="","",D71*$D$9)</f>
        <v/>
      </c>
      <c r="U71" s="35" t="str">
        <f>IF(D71="","",E71)</f>
        <v/>
      </c>
      <c r="V71" s="35" t="str">
        <f>IF(D71="","",D71*(VLOOKUP(C71,$C$45:$M$58,11,FALSE)))</f>
        <v/>
      </c>
      <c r="W71" s="36" t="str">
        <f>IF(T71="","",T71*(VLOOKUP(C71,$C$45:$M$58,11,FALSE)))</f>
        <v/>
      </c>
      <c r="Y71" s="147" t="str">
        <f t="shared" si="32"/>
        <v/>
      </c>
      <c r="Z71" s="147" t="str">
        <f t="shared" si="33"/>
        <v/>
      </c>
      <c r="AA71" s="147" t="str">
        <f t="shared" si="34"/>
        <v/>
      </c>
      <c r="AB71" s="147" t="str">
        <f t="shared" si="35"/>
        <v/>
      </c>
      <c r="AC71" s="147" t="str">
        <f t="shared" si="36"/>
        <v/>
      </c>
      <c r="AD71" s="147" t="str">
        <f t="shared" si="37"/>
        <v/>
      </c>
      <c r="AE71" s="147" t="str">
        <f t="shared" si="38"/>
        <v/>
      </c>
      <c r="AF71" s="147" t="str">
        <f t="shared" si="39"/>
        <v/>
      </c>
      <c r="AG71" s="147" t="str">
        <f t="shared" si="40"/>
        <v/>
      </c>
      <c r="AH71" s="147" t="str">
        <f t="shared" si="41"/>
        <v/>
      </c>
      <c r="AI71" s="147" t="str">
        <f t="shared" si="42"/>
        <v/>
      </c>
      <c r="AJ71" s="147" t="str">
        <f t="shared" si="43"/>
        <v/>
      </c>
      <c r="AK71" s="147" t="str">
        <f t="shared" si="44"/>
        <v/>
      </c>
      <c r="AL71" s="147" t="str">
        <f t="shared" si="45"/>
        <v/>
      </c>
    </row>
    <row r="72" spans="1:38" x14ac:dyDescent="0.3">
      <c r="A72" s="196"/>
      <c r="C72" s="200"/>
      <c r="D72" s="201"/>
      <c r="E72" t="str">
        <f>_xlfn.IFNA(VLOOKUP(C72,'Te gebruiken meststoffen'!$R$3:$AC$10,12,FALSE),"")</f>
        <v/>
      </c>
      <c r="F72" s="52">
        <f t="shared" si="49"/>
        <v>0</v>
      </c>
      <c r="G72" s="52">
        <f t="shared" ref="G72:G76" si="61">O72</f>
        <v>0</v>
      </c>
      <c r="H72" s="52">
        <f t="shared" si="50"/>
        <v>0</v>
      </c>
      <c r="I72" s="52">
        <f t="shared" si="51"/>
        <v>0</v>
      </c>
      <c r="J72" s="52">
        <f t="shared" si="52"/>
        <v>0</v>
      </c>
      <c r="K72" s="52">
        <f t="shared" si="53"/>
        <v>0</v>
      </c>
      <c r="L72" s="52">
        <f t="shared" si="54"/>
        <v>0</v>
      </c>
      <c r="M72" s="53">
        <f t="shared" si="55"/>
        <v>0</v>
      </c>
      <c r="N72">
        <f t="shared" ref="N72:N76" si="62">O72+P64</f>
        <v>0</v>
      </c>
      <c r="O72">
        <f t="shared" si="56"/>
        <v>0</v>
      </c>
      <c r="P72">
        <f t="shared" si="57"/>
        <v>0</v>
      </c>
      <c r="Q72">
        <f t="shared" si="58"/>
        <v>0</v>
      </c>
      <c r="R72">
        <f t="shared" si="59"/>
        <v>0</v>
      </c>
      <c r="S72">
        <f t="shared" si="60"/>
        <v>0</v>
      </c>
      <c r="T72" s="40" t="str">
        <f t="shared" ref="T72:T76" si="63">IF(D72="","",D72*$D$9)</f>
        <v/>
      </c>
      <c r="U72" t="str">
        <f t="shared" ref="U72:U76" si="64">IF(D72="","",E72)</f>
        <v/>
      </c>
      <c r="V72" t="str">
        <f t="shared" ref="V72:V76" si="65">IF(D72="","",D72*(VLOOKUP(C72,$C$45:$M$58,11,FALSE)))</f>
        <v/>
      </c>
      <c r="W72" s="43" t="str">
        <f t="shared" ref="W72:W76" si="66">IF(T72="","",T72*(VLOOKUP(C72,$C$45:$M$58,11,FALSE)))</f>
        <v/>
      </c>
      <c r="Y72" s="147" t="str">
        <f t="shared" si="32"/>
        <v/>
      </c>
      <c r="Z72" s="147" t="str">
        <f t="shared" si="33"/>
        <v/>
      </c>
      <c r="AA72" s="147" t="str">
        <f t="shared" si="34"/>
        <v/>
      </c>
      <c r="AB72" s="147" t="str">
        <f t="shared" si="35"/>
        <v/>
      </c>
      <c r="AC72" s="147" t="str">
        <f t="shared" si="36"/>
        <v/>
      </c>
      <c r="AD72" s="147" t="str">
        <f t="shared" si="37"/>
        <v/>
      </c>
      <c r="AE72" s="147" t="str">
        <f t="shared" si="38"/>
        <v/>
      </c>
      <c r="AF72" s="147" t="str">
        <f t="shared" si="39"/>
        <v/>
      </c>
      <c r="AG72" s="147" t="str">
        <f t="shared" si="40"/>
        <v/>
      </c>
      <c r="AH72" s="147" t="str">
        <f t="shared" si="41"/>
        <v/>
      </c>
      <c r="AI72" s="147" t="str">
        <f t="shared" si="42"/>
        <v/>
      </c>
      <c r="AJ72" s="147" t="str">
        <f t="shared" si="43"/>
        <v/>
      </c>
      <c r="AK72" s="147" t="str">
        <f t="shared" si="44"/>
        <v/>
      </c>
      <c r="AL72" s="147" t="str">
        <f t="shared" si="45"/>
        <v/>
      </c>
    </row>
    <row r="73" spans="1:38" x14ac:dyDescent="0.3">
      <c r="A73" s="196"/>
      <c r="C73" s="200"/>
      <c r="D73" s="201"/>
      <c r="E73" t="str">
        <f>_xlfn.IFNA(VLOOKUP(C73,'Te gebruiken meststoffen'!$R$3:$AC$10,12,FALSE),"")</f>
        <v/>
      </c>
      <c r="F73" s="52">
        <f t="shared" si="49"/>
        <v>0</v>
      </c>
      <c r="G73" s="52">
        <f t="shared" si="61"/>
        <v>0</v>
      </c>
      <c r="H73" s="52">
        <f t="shared" si="50"/>
        <v>0</v>
      </c>
      <c r="I73" s="52">
        <f t="shared" si="51"/>
        <v>0</v>
      </c>
      <c r="J73" s="52">
        <f t="shared" si="52"/>
        <v>0</v>
      </c>
      <c r="K73" s="52">
        <f t="shared" si="53"/>
        <v>0</v>
      </c>
      <c r="L73" s="52">
        <f t="shared" si="54"/>
        <v>0</v>
      </c>
      <c r="M73" s="53">
        <f t="shared" si="55"/>
        <v>0</v>
      </c>
      <c r="N73">
        <f t="shared" si="62"/>
        <v>0</v>
      </c>
      <c r="O73">
        <f t="shared" si="56"/>
        <v>0</v>
      </c>
      <c r="P73">
        <f t="shared" si="57"/>
        <v>0</v>
      </c>
      <c r="Q73">
        <f t="shared" si="58"/>
        <v>0</v>
      </c>
      <c r="R73">
        <f t="shared" si="59"/>
        <v>0</v>
      </c>
      <c r="S73">
        <f t="shared" si="60"/>
        <v>0</v>
      </c>
      <c r="T73" s="40" t="str">
        <f t="shared" si="63"/>
        <v/>
      </c>
      <c r="U73" t="str">
        <f t="shared" si="64"/>
        <v/>
      </c>
      <c r="V73" t="str">
        <f t="shared" si="65"/>
        <v/>
      </c>
      <c r="W73" s="43" t="str">
        <f t="shared" si="66"/>
        <v/>
      </c>
      <c r="Y73" s="147" t="str">
        <f t="shared" si="32"/>
        <v/>
      </c>
      <c r="Z73" s="147" t="str">
        <f t="shared" si="33"/>
        <v/>
      </c>
      <c r="AA73" s="147" t="str">
        <f t="shared" si="34"/>
        <v/>
      </c>
      <c r="AB73" s="147" t="str">
        <f t="shared" si="35"/>
        <v/>
      </c>
      <c r="AC73" s="147" t="str">
        <f t="shared" si="36"/>
        <v/>
      </c>
      <c r="AD73" s="147" t="str">
        <f t="shared" si="37"/>
        <v/>
      </c>
      <c r="AE73" s="147" t="str">
        <f t="shared" si="38"/>
        <v/>
      </c>
      <c r="AF73" s="147" t="str">
        <f t="shared" si="39"/>
        <v/>
      </c>
      <c r="AG73" s="147" t="str">
        <f t="shared" si="40"/>
        <v/>
      </c>
      <c r="AH73" s="147" t="str">
        <f t="shared" si="41"/>
        <v/>
      </c>
      <c r="AI73" s="147" t="str">
        <f t="shared" si="42"/>
        <v/>
      </c>
      <c r="AJ73" s="147" t="str">
        <f t="shared" si="43"/>
        <v/>
      </c>
      <c r="AK73" s="147" t="str">
        <f t="shared" si="44"/>
        <v/>
      </c>
      <c r="AL73" s="147" t="str">
        <f t="shared" si="45"/>
        <v/>
      </c>
    </row>
    <row r="74" spans="1:38" x14ac:dyDescent="0.3">
      <c r="A74" s="196"/>
      <c r="C74" s="200"/>
      <c r="D74" s="201"/>
      <c r="E74" t="str">
        <f>_xlfn.IFNA(VLOOKUP(C74,'Te gebruiken meststoffen'!$R$3:$AC$10,12,FALSE),"")</f>
        <v/>
      </c>
      <c r="F74" s="52">
        <f t="shared" si="49"/>
        <v>0</v>
      </c>
      <c r="G74" s="52">
        <f t="shared" si="61"/>
        <v>0</v>
      </c>
      <c r="H74" s="52">
        <f t="shared" si="50"/>
        <v>0</v>
      </c>
      <c r="I74" s="52">
        <f t="shared" si="51"/>
        <v>0</v>
      </c>
      <c r="J74" s="52">
        <f t="shared" si="52"/>
        <v>0</v>
      </c>
      <c r="K74" s="52">
        <f t="shared" si="53"/>
        <v>0</v>
      </c>
      <c r="L74" s="52">
        <f t="shared" si="54"/>
        <v>0</v>
      </c>
      <c r="M74" s="53">
        <f t="shared" si="55"/>
        <v>0</v>
      </c>
      <c r="N74">
        <f t="shared" si="62"/>
        <v>0</v>
      </c>
      <c r="O74">
        <f t="shared" si="56"/>
        <v>0</v>
      </c>
      <c r="P74">
        <f t="shared" si="57"/>
        <v>0</v>
      </c>
      <c r="Q74">
        <f t="shared" si="58"/>
        <v>0</v>
      </c>
      <c r="R74">
        <f t="shared" si="59"/>
        <v>0</v>
      </c>
      <c r="S74">
        <f t="shared" si="60"/>
        <v>0</v>
      </c>
      <c r="T74" s="40" t="str">
        <f t="shared" si="63"/>
        <v/>
      </c>
      <c r="U74" t="str">
        <f t="shared" si="64"/>
        <v/>
      </c>
      <c r="V74" t="str">
        <f t="shared" si="65"/>
        <v/>
      </c>
      <c r="W74" s="43" t="str">
        <f t="shared" si="66"/>
        <v/>
      </c>
      <c r="Y74" s="147" t="str">
        <f t="shared" si="32"/>
        <v/>
      </c>
      <c r="Z74" s="147" t="str">
        <f t="shared" si="33"/>
        <v/>
      </c>
      <c r="AA74" s="147" t="str">
        <f t="shared" si="34"/>
        <v/>
      </c>
      <c r="AB74" s="147" t="str">
        <f t="shared" si="35"/>
        <v/>
      </c>
      <c r="AC74" s="147" t="str">
        <f t="shared" si="36"/>
        <v/>
      </c>
      <c r="AD74" s="147" t="str">
        <f t="shared" si="37"/>
        <v/>
      </c>
      <c r="AE74" s="147" t="str">
        <f t="shared" si="38"/>
        <v/>
      </c>
      <c r="AF74" s="147" t="str">
        <f t="shared" si="39"/>
        <v/>
      </c>
      <c r="AG74" s="147" t="str">
        <f t="shared" si="40"/>
        <v/>
      </c>
      <c r="AH74" s="147" t="str">
        <f t="shared" si="41"/>
        <v/>
      </c>
      <c r="AI74" s="147" t="str">
        <f t="shared" si="42"/>
        <v/>
      </c>
      <c r="AJ74" s="147" t="str">
        <f t="shared" si="43"/>
        <v/>
      </c>
      <c r="AK74" s="147" t="str">
        <f t="shared" si="44"/>
        <v/>
      </c>
      <c r="AL74" s="147" t="str">
        <f t="shared" si="45"/>
        <v/>
      </c>
    </row>
    <row r="75" spans="1:38" x14ac:dyDescent="0.3">
      <c r="A75" s="196"/>
      <c r="C75" s="200"/>
      <c r="D75" s="201"/>
      <c r="E75" t="str">
        <f>_xlfn.IFNA(VLOOKUP(C75,'Te gebruiken meststoffen'!$R$3:$AC$10,12,FALSE),"")</f>
        <v/>
      </c>
      <c r="F75" s="52">
        <f t="shared" si="49"/>
        <v>0</v>
      </c>
      <c r="G75" s="52">
        <f t="shared" si="61"/>
        <v>0</v>
      </c>
      <c r="H75" s="52">
        <f t="shared" si="50"/>
        <v>0</v>
      </c>
      <c r="I75" s="52">
        <f t="shared" si="51"/>
        <v>0</v>
      </c>
      <c r="J75" s="52">
        <f t="shared" si="52"/>
        <v>0</v>
      </c>
      <c r="K75" s="52">
        <f t="shared" si="53"/>
        <v>0</v>
      </c>
      <c r="L75" s="52">
        <f t="shared" si="54"/>
        <v>0</v>
      </c>
      <c r="M75" s="53">
        <f t="shared" si="55"/>
        <v>0</v>
      </c>
      <c r="N75">
        <f t="shared" si="62"/>
        <v>0</v>
      </c>
      <c r="O75">
        <f t="shared" si="56"/>
        <v>0</v>
      </c>
      <c r="P75">
        <f t="shared" si="57"/>
        <v>0</v>
      </c>
      <c r="Q75">
        <f t="shared" si="58"/>
        <v>0</v>
      </c>
      <c r="R75">
        <f t="shared" si="59"/>
        <v>0</v>
      </c>
      <c r="S75">
        <f t="shared" si="60"/>
        <v>0</v>
      </c>
      <c r="T75" s="40" t="str">
        <f t="shared" si="63"/>
        <v/>
      </c>
      <c r="U75" t="str">
        <f t="shared" si="64"/>
        <v/>
      </c>
      <c r="V75" t="str">
        <f t="shared" si="65"/>
        <v/>
      </c>
      <c r="W75" s="43" t="str">
        <f t="shared" si="66"/>
        <v/>
      </c>
      <c r="Y75" s="147" t="str">
        <f t="shared" si="32"/>
        <v/>
      </c>
      <c r="Z75" s="147" t="str">
        <f t="shared" si="33"/>
        <v/>
      </c>
      <c r="AA75" s="147" t="str">
        <f t="shared" si="34"/>
        <v/>
      </c>
      <c r="AB75" s="147" t="str">
        <f t="shared" si="35"/>
        <v/>
      </c>
      <c r="AC75" s="147" t="str">
        <f t="shared" si="36"/>
        <v/>
      </c>
      <c r="AD75" s="147" t="str">
        <f t="shared" si="37"/>
        <v/>
      </c>
      <c r="AE75" s="147" t="str">
        <f t="shared" si="38"/>
        <v/>
      </c>
      <c r="AF75" s="147" t="str">
        <f t="shared" si="39"/>
        <v/>
      </c>
      <c r="AG75" s="147" t="str">
        <f t="shared" si="40"/>
        <v/>
      </c>
      <c r="AH75" s="147" t="str">
        <f t="shared" si="41"/>
        <v/>
      </c>
      <c r="AI75" s="147" t="str">
        <f t="shared" si="42"/>
        <v/>
      </c>
      <c r="AJ75" s="147" t="str">
        <f t="shared" si="43"/>
        <v/>
      </c>
      <c r="AK75" s="147" t="str">
        <f t="shared" si="44"/>
        <v/>
      </c>
      <c r="AL75" s="147" t="str">
        <f t="shared" si="45"/>
        <v/>
      </c>
    </row>
    <row r="76" spans="1:38" ht="15" thickBot="1" x14ac:dyDescent="0.35">
      <c r="A76" s="197"/>
      <c r="C76" s="200"/>
      <c r="D76" s="201"/>
      <c r="E76" t="str">
        <f>_xlfn.IFNA(VLOOKUP(C76,'Te gebruiken meststoffen'!$R$3:$AC$10,12,FALSE),"")</f>
        <v/>
      </c>
      <c r="F76" s="52">
        <f t="shared" si="49"/>
        <v>0</v>
      </c>
      <c r="G76" s="52">
        <f t="shared" si="61"/>
        <v>0</v>
      </c>
      <c r="H76" s="52">
        <f t="shared" si="50"/>
        <v>0</v>
      </c>
      <c r="I76" s="52">
        <f t="shared" si="51"/>
        <v>0</v>
      </c>
      <c r="J76" s="52">
        <f t="shared" si="52"/>
        <v>0</v>
      </c>
      <c r="K76" s="52">
        <f t="shared" si="53"/>
        <v>0</v>
      </c>
      <c r="L76" s="52">
        <f t="shared" si="54"/>
        <v>0</v>
      </c>
      <c r="M76" s="53">
        <f t="shared" si="55"/>
        <v>0</v>
      </c>
      <c r="N76">
        <f t="shared" si="62"/>
        <v>0</v>
      </c>
      <c r="O76">
        <f t="shared" si="56"/>
        <v>0</v>
      </c>
      <c r="P76">
        <f t="shared" si="57"/>
        <v>0</v>
      </c>
      <c r="Q76">
        <f t="shared" si="58"/>
        <v>0</v>
      </c>
      <c r="R76">
        <f t="shared" si="59"/>
        <v>0</v>
      </c>
      <c r="S76">
        <f t="shared" si="60"/>
        <v>0</v>
      </c>
      <c r="T76" s="134" t="str">
        <f t="shared" si="63"/>
        <v/>
      </c>
      <c r="U76" s="131" t="str">
        <f t="shared" si="64"/>
        <v/>
      </c>
      <c r="V76" s="131" t="str">
        <f t="shared" si="65"/>
        <v/>
      </c>
      <c r="W76" s="135" t="str">
        <f t="shared" si="66"/>
        <v/>
      </c>
      <c r="Y76" s="147" t="str">
        <f t="shared" si="32"/>
        <v/>
      </c>
      <c r="Z76" s="147" t="str">
        <f t="shared" si="33"/>
        <v/>
      </c>
      <c r="AA76" s="147" t="str">
        <f t="shared" si="34"/>
        <v/>
      </c>
      <c r="AB76" s="147" t="str">
        <f t="shared" si="35"/>
        <v/>
      </c>
      <c r="AC76" s="147" t="str">
        <f t="shared" si="36"/>
        <v/>
      </c>
      <c r="AD76" s="147" t="str">
        <f t="shared" si="37"/>
        <v/>
      </c>
      <c r="AE76" s="147" t="str">
        <f t="shared" si="38"/>
        <v/>
      </c>
      <c r="AF76" s="147" t="str">
        <f t="shared" si="39"/>
        <v/>
      </c>
      <c r="AG76" s="147" t="str">
        <f t="shared" si="40"/>
        <v/>
      </c>
      <c r="AH76" s="147" t="str">
        <f t="shared" si="41"/>
        <v/>
      </c>
      <c r="AI76" s="147" t="str">
        <f t="shared" si="42"/>
        <v/>
      </c>
      <c r="AJ76" s="147" t="str">
        <f t="shared" si="43"/>
        <v/>
      </c>
      <c r="AK76" s="147" t="str">
        <f t="shared" si="44"/>
        <v/>
      </c>
      <c r="AL76" s="147" t="str">
        <f t="shared" si="45"/>
        <v/>
      </c>
    </row>
    <row r="77" spans="1:38" ht="15" thickBot="1" x14ac:dyDescent="0.35">
      <c r="C77" s="75"/>
      <c r="D77" s="76"/>
      <c r="E77" s="56" t="s">
        <v>505</v>
      </c>
      <c r="F77" s="79">
        <f t="shared" ref="F77:M77" si="67">SUM(F71:F76)</f>
        <v>0</v>
      </c>
      <c r="G77" s="79">
        <f>SUM(G70:G76)</f>
        <v>0</v>
      </c>
      <c r="H77" s="79">
        <f t="shared" si="67"/>
        <v>0</v>
      </c>
      <c r="I77" s="79">
        <f t="shared" si="67"/>
        <v>0</v>
      </c>
      <c r="J77" s="79">
        <f t="shared" si="67"/>
        <v>0</v>
      </c>
      <c r="K77" s="79">
        <f t="shared" si="67"/>
        <v>0</v>
      </c>
      <c r="L77" s="79">
        <f t="shared" si="67"/>
        <v>0</v>
      </c>
      <c r="M77" s="112">
        <f t="shared" si="67"/>
        <v>0</v>
      </c>
      <c r="N77" s="60">
        <f>SUM(P63:P68,O71:O76)</f>
        <v>0</v>
      </c>
      <c r="T77" s="138"/>
      <c r="U77" s="139"/>
      <c r="V77" s="139">
        <f>SUM(V71:V76)</f>
        <v>0</v>
      </c>
      <c r="W77" s="140">
        <f>SUM(W71:W76)</f>
        <v>0</v>
      </c>
      <c r="Y77" s="147"/>
      <c r="Z77" s="147"/>
      <c r="AA77" s="147"/>
      <c r="AB77" s="147"/>
      <c r="AC77" s="147"/>
      <c r="AD77" s="147"/>
      <c r="AE77" s="147"/>
      <c r="AF77" s="147"/>
      <c r="AG77" s="147"/>
      <c r="AH77" s="147"/>
      <c r="AI77" s="147"/>
      <c r="AJ77" s="147"/>
      <c r="AK77" s="147"/>
      <c r="AL77" s="147"/>
    </row>
    <row r="78" spans="1:38" ht="15" thickBot="1" x14ac:dyDescent="0.35">
      <c r="A78" s="128" t="s">
        <v>611</v>
      </c>
      <c r="C78" s="128" t="s">
        <v>500</v>
      </c>
      <c r="D78" s="76" t="s">
        <v>620</v>
      </c>
      <c r="E78" s="76"/>
      <c r="F78" s="76"/>
      <c r="G78" s="146">
        <f>N85-SUM(G79:G84)</f>
        <v>0</v>
      </c>
      <c r="H78" s="76"/>
      <c r="I78" s="76"/>
      <c r="J78" s="76"/>
      <c r="K78" s="76"/>
      <c r="L78" s="76"/>
      <c r="M78" s="77"/>
      <c r="S78">
        <f>SUM(S79:S84)</f>
        <v>0</v>
      </c>
      <c r="T78" s="75"/>
      <c r="U78" s="76"/>
      <c r="V78" s="76"/>
      <c r="W78" s="77"/>
      <c r="Y78" s="147"/>
      <c r="Z78" s="147"/>
      <c r="AA78" s="147"/>
      <c r="AB78" s="147"/>
      <c r="AC78" s="147"/>
      <c r="AD78" s="147"/>
      <c r="AE78" s="147"/>
      <c r="AF78" s="147"/>
      <c r="AG78" s="147"/>
      <c r="AH78" s="147"/>
      <c r="AI78" s="147"/>
      <c r="AJ78" s="147"/>
      <c r="AK78" s="147"/>
      <c r="AL78" s="147"/>
    </row>
    <row r="79" spans="1:38" x14ac:dyDescent="0.3">
      <c r="A79" s="195"/>
      <c r="C79" s="198"/>
      <c r="D79" s="199"/>
      <c r="E79" s="35" t="str">
        <f>_xlfn.IFNA(VLOOKUP(C79,'Te gebruiken meststoffen'!$R$3:$AC$10,12,FALSE),"")</f>
        <v/>
      </c>
      <c r="F79" s="50">
        <f t="shared" ref="F79:F84" si="68">D79*(IFERROR(VLOOKUP(C79,$C$45:$Q$58,3,FALSE),0))</f>
        <v>0</v>
      </c>
      <c r="G79" s="50">
        <f>O79</f>
        <v>0</v>
      </c>
      <c r="H79" s="50">
        <f t="shared" ref="H79:H84" si="69">D79*(IFERROR(VLOOKUP(C79,$C$45:$Q$58,5,FALSE),0))</f>
        <v>0</v>
      </c>
      <c r="I79" s="50">
        <f t="shared" ref="I79:I84" si="70">D79*(IFERROR(VLOOKUP(C79,$C$45:$Q$58,6,FALSE),0))</f>
        <v>0</v>
      </c>
      <c r="J79" s="50">
        <f t="shared" ref="J79:J84" si="71">D79*(IFERROR(VLOOKUP(C79,$C$45:$Q$58,7,FALSE),0))</f>
        <v>0</v>
      </c>
      <c r="K79" s="50">
        <f t="shared" ref="K79:K84" si="72">D79*(IFERROR(VLOOKUP(C79,$C$45:$Q$58,8,FALSE),0))</f>
        <v>0</v>
      </c>
      <c r="L79" s="50">
        <f t="shared" ref="L79:L84" si="73">D79*(IFERROR(VLOOKUP(C79,$C$45:$Q$58,9,FALSE),0))</f>
        <v>0</v>
      </c>
      <c r="M79" s="51">
        <f t="shared" ref="M79:M84" si="74">D79*(IFERROR(VLOOKUP(C79,$C$45:$Q$58,10,FALSE),0))</f>
        <v>0</v>
      </c>
      <c r="N79">
        <f t="shared" ref="N79:N84" si="75">O79+P71+Q63</f>
        <v>0</v>
      </c>
      <c r="O79">
        <f t="shared" ref="O79:O84" si="76">D79*(IFERROR(VLOOKUP(C79,$C$45:$Q$58,12,FALSE),0))</f>
        <v>0</v>
      </c>
      <c r="P79">
        <f t="shared" ref="P79:P84" si="77">D79*(IFERROR(VLOOKUP(C79,$C$45:$Q$58,13,FALSE),0))</f>
        <v>0</v>
      </c>
      <c r="Q79">
        <f t="shared" ref="Q79:Q84" si="78">D79*(IFERROR(VLOOKUP(C79,$C$45:$Q$58,14,FALSE),0))</f>
        <v>0</v>
      </c>
      <c r="R79">
        <f t="shared" ref="R79:R84" si="79">D79*(IFERROR(VLOOKUP(C79,$C$45:$Q$58,15,FALSE),0))</f>
        <v>0</v>
      </c>
      <c r="S79">
        <f t="shared" ref="S79:S84" si="80">IF(F79&gt;0,F79,G79)</f>
        <v>0</v>
      </c>
      <c r="T79" s="34" t="str">
        <f>IF(D79="","",D79*$D$9)</f>
        <v/>
      </c>
      <c r="U79" s="35" t="str">
        <f>IF(D79="","",E79)</f>
        <v/>
      </c>
      <c r="V79" s="35" t="str">
        <f>IF(D79="","",D79*(VLOOKUP(C79,$C$45:$M$58,11,FALSE)))</f>
        <v/>
      </c>
      <c r="W79" s="36" t="str">
        <f>IF(T79="","",T79*(VLOOKUP(C79,$C$45:$M$58,11,FALSE)))</f>
        <v/>
      </c>
      <c r="Y79" s="147" t="str">
        <f t="shared" si="32"/>
        <v/>
      </c>
      <c r="Z79" s="147" t="str">
        <f t="shared" si="33"/>
        <v/>
      </c>
      <c r="AA79" s="147" t="str">
        <f t="shared" si="34"/>
        <v/>
      </c>
      <c r="AB79" s="147" t="str">
        <f t="shared" si="35"/>
        <v/>
      </c>
      <c r="AC79" s="147" t="str">
        <f t="shared" si="36"/>
        <v/>
      </c>
      <c r="AD79" s="147" t="str">
        <f t="shared" si="37"/>
        <v/>
      </c>
      <c r="AE79" s="147" t="str">
        <f t="shared" si="38"/>
        <v/>
      </c>
      <c r="AF79" s="147" t="str">
        <f t="shared" si="39"/>
        <v/>
      </c>
      <c r="AG79" s="147" t="str">
        <f t="shared" si="40"/>
        <v/>
      </c>
      <c r="AH79" s="147" t="str">
        <f t="shared" si="41"/>
        <v/>
      </c>
      <c r="AI79" s="147" t="str">
        <f t="shared" si="42"/>
        <v/>
      </c>
      <c r="AJ79" s="147" t="str">
        <f t="shared" si="43"/>
        <v/>
      </c>
      <c r="AK79" s="147" t="str">
        <f t="shared" si="44"/>
        <v/>
      </c>
      <c r="AL79" s="147" t="str">
        <f t="shared" si="45"/>
        <v/>
      </c>
    </row>
    <row r="80" spans="1:38" x14ac:dyDescent="0.3">
      <c r="A80" s="196"/>
      <c r="C80" s="200"/>
      <c r="D80" s="201"/>
      <c r="E80" t="str">
        <f>_xlfn.IFNA(VLOOKUP(C80,'Te gebruiken meststoffen'!$R$3:$AC$10,12,FALSE),"")</f>
        <v/>
      </c>
      <c r="F80" s="52">
        <f t="shared" si="68"/>
        <v>0</v>
      </c>
      <c r="G80" s="52">
        <f t="shared" ref="G80:G84" si="81">O80</f>
        <v>0</v>
      </c>
      <c r="H80" s="52">
        <f t="shared" si="69"/>
        <v>0</v>
      </c>
      <c r="I80" s="52">
        <f t="shared" si="70"/>
        <v>0</v>
      </c>
      <c r="J80" s="52">
        <f t="shared" si="71"/>
        <v>0</v>
      </c>
      <c r="K80" s="52">
        <f t="shared" si="72"/>
        <v>0</v>
      </c>
      <c r="L80" s="52">
        <f t="shared" si="73"/>
        <v>0</v>
      </c>
      <c r="M80" s="53">
        <f t="shared" si="74"/>
        <v>0</v>
      </c>
      <c r="N80">
        <f t="shared" si="75"/>
        <v>0</v>
      </c>
      <c r="O80">
        <f t="shared" si="76"/>
        <v>0</v>
      </c>
      <c r="P80">
        <f t="shared" si="77"/>
        <v>0</v>
      </c>
      <c r="Q80">
        <f t="shared" si="78"/>
        <v>0</v>
      </c>
      <c r="R80">
        <f t="shared" si="79"/>
        <v>0</v>
      </c>
      <c r="S80">
        <f t="shared" si="80"/>
        <v>0</v>
      </c>
      <c r="T80" s="40" t="str">
        <f t="shared" ref="T80:T84" si="82">IF(D80="","",D80*$D$9)</f>
        <v/>
      </c>
      <c r="U80" t="str">
        <f t="shared" ref="U80:U84" si="83">IF(D80="","",E80)</f>
        <v/>
      </c>
      <c r="V80" t="str">
        <f t="shared" ref="V80:V84" si="84">IF(D80="","",D80*(VLOOKUP(C80,$C$45:$M$58,11,FALSE)))</f>
        <v/>
      </c>
      <c r="W80" s="43" t="str">
        <f t="shared" ref="W80:W84" si="85">IF(T80="","",T80*(VLOOKUP(C80,$C$45:$M$58,11,FALSE)))</f>
        <v/>
      </c>
      <c r="Y80" s="147" t="str">
        <f t="shared" si="32"/>
        <v/>
      </c>
      <c r="Z80" s="147" t="str">
        <f t="shared" si="33"/>
        <v/>
      </c>
      <c r="AA80" s="147" t="str">
        <f t="shared" si="34"/>
        <v/>
      </c>
      <c r="AB80" s="147" t="str">
        <f t="shared" si="35"/>
        <v/>
      </c>
      <c r="AC80" s="147" t="str">
        <f t="shared" si="36"/>
        <v/>
      </c>
      <c r="AD80" s="147" t="str">
        <f t="shared" si="37"/>
        <v/>
      </c>
      <c r="AE80" s="147" t="str">
        <f t="shared" si="38"/>
        <v/>
      </c>
      <c r="AF80" s="147" t="str">
        <f t="shared" si="39"/>
        <v/>
      </c>
      <c r="AG80" s="147" t="str">
        <f t="shared" si="40"/>
        <v/>
      </c>
      <c r="AH80" s="147" t="str">
        <f t="shared" si="41"/>
        <v/>
      </c>
      <c r="AI80" s="147" t="str">
        <f t="shared" si="42"/>
        <v/>
      </c>
      <c r="AJ80" s="147" t="str">
        <f t="shared" si="43"/>
        <v/>
      </c>
      <c r="AK80" s="147" t="str">
        <f t="shared" si="44"/>
        <v/>
      </c>
      <c r="AL80" s="147" t="str">
        <f t="shared" si="45"/>
        <v/>
      </c>
    </row>
    <row r="81" spans="1:38" x14ac:dyDescent="0.3">
      <c r="A81" s="196"/>
      <c r="C81" s="200"/>
      <c r="D81" s="201"/>
      <c r="E81" t="str">
        <f>_xlfn.IFNA(VLOOKUP(C81,'Te gebruiken meststoffen'!$R$3:$AC$10,12,FALSE),"")</f>
        <v/>
      </c>
      <c r="F81" s="52">
        <f t="shared" si="68"/>
        <v>0</v>
      </c>
      <c r="G81" s="52">
        <f t="shared" si="81"/>
        <v>0</v>
      </c>
      <c r="H81" s="52">
        <f t="shared" si="69"/>
        <v>0</v>
      </c>
      <c r="I81" s="52">
        <f t="shared" si="70"/>
        <v>0</v>
      </c>
      <c r="J81" s="52">
        <f t="shared" si="71"/>
        <v>0</v>
      </c>
      <c r="K81" s="52">
        <f t="shared" si="72"/>
        <v>0</v>
      </c>
      <c r="L81" s="52">
        <f t="shared" si="73"/>
        <v>0</v>
      </c>
      <c r="M81" s="53">
        <f t="shared" si="74"/>
        <v>0</v>
      </c>
      <c r="N81">
        <f t="shared" si="75"/>
        <v>0</v>
      </c>
      <c r="O81">
        <f t="shared" si="76"/>
        <v>0</v>
      </c>
      <c r="P81">
        <f t="shared" si="77"/>
        <v>0</v>
      </c>
      <c r="Q81">
        <f t="shared" si="78"/>
        <v>0</v>
      </c>
      <c r="R81">
        <f t="shared" si="79"/>
        <v>0</v>
      </c>
      <c r="S81">
        <f t="shared" si="80"/>
        <v>0</v>
      </c>
      <c r="T81" s="40" t="str">
        <f t="shared" si="82"/>
        <v/>
      </c>
      <c r="U81" t="str">
        <f t="shared" si="83"/>
        <v/>
      </c>
      <c r="V81" t="str">
        <f t="shared" si="84"/>
        <v/>
      </c>
      <c r="W81" s="43" t="str">
        <f t="shared" si="85"/>
        <v/>
      </c>
      <c r="Y81" s="147" t="str">
        <f t="shared" si="32"/>
        <v/>
      </c>
      <c r="Z81" s="147" t="str">
        <f t="shared" si="33"/>
        <v/>
      </c>
      <c r="AA81" s="147" t="str">
        <f t="shared" si="34"/>
        <v/>
      </c>
      <c r="AB81" s="147" t="str">
        <f t="shared" si="35"/>
        <v/>
      </c>
      <c r="AC81" s="147" t="str">
        <f t="shared" si="36"/>
        <v/>
      </c>
      <c r="AD81" s="147" t="str">
        <f t="shared" si="37"/>
        <v/>
      </c>
      <c r="AE81" s="147" t="str">
        <f t="shared" si="38"/>
        <v/>
      </c>
      <c r="AF81" s="147" t="str">
        <f t="shared" si="39"/>
        <v/>
      </c>
      <c r="AG81" s="147" t="str">
        <f t="shared" si="40"/>
        <v/>
      </c>
      <c r="AH81" s="147" t="str">
        <f t="shared" si="41"/>
        <v/>
      </c>
      <c r="AI81" s="147" t="str">
        <f t="shared" si="42"/>
        <v/>
      </c>
      <c r="AJ81" s="147" t="str">
        <f t="shared" si="43"/>
        <v/>
      </c>
      <c r="AK81" s="147" t="str">
        <f t="shared" si="44"/>
        <v/>
      </c>
      <c r="AL81" s="147" t="str">
        <f t="shared" si="45"/>
        <v/>
      </c>
    </row>
    <row r="82" spans="1:38" x14ac:dyDescent="0.3">
      <c r="A82" s="196"/>
      <c r="C82" s="200"/>
      <c r="D82" s="201"/>
      <c r="E82" t="str">
        <f>_xlfn.IFNA(VLOOKUP(C82,'Te gebruiken meststoffen'!$R$3:$AC$10,12,FALSE),"")</f>
        <v/>
      </c>
      <c r="F82" s="52">
        <f t="shared" si="68"/>
        <v>0</v>
      </c>
      <c r="G82" s="52">
        <f t="shared" si="81"/>
        <v>0</v>
      </c>
      <c r="H82" s="52">
        <f t="shared" si="69"/>
        <v>0</v>
      </c>
      <c r="I82" s="52">
        <f t="shared" si="70"/>
        <v>0</v>
      </c>
      <c r="J82" s="52">
        <f t="shared" si="71"/>
        <v>0</v>
      </c>
      <c r="K82" s="52">
        <f t="shared" si="72"/>
        <v>0</v>
      </c>
      <c r="L82" s="52">
        <f t="shared" si="73"/>
        <v>0</v>
      </c>
      <c r="M82" s="53">
        <f t="shared" si="74"/>
        <v>0</v>
      </c>
      <c r="N82">
        <f t="shared" si="75"/>
        <v>0</v>
      </c>
      <c r="O82">
        <f t="shared" si="76"/>
        <v>0</v>
      </c>
      <c r="P82">
        <f t="shared" si="77"/>
        <v>0</v>
      </c>
      <c r="Q82">
        <f t="shared" si="78"/>
        <v>0</v>
      </c>
      <c r="R82">
        <f t="shared" si="79"/>
        <v>0</v>
      </c>
      <c r="S82">
        <f t="shared" si="80"/>
        <v>0</v>
      </c>
      <c r="T82" s="40" t="str">
        <f t="shared" si="82"/>
        <v/>
      </c>
      <c r="U82" t="str">
        <f t="shared" si="83"/>
        <v/>
      </c>
      <c r="V82" t="str">
        <f t="shared" si="84"/>
        <v/>
      </c>
      <c r="W82" s="43" t="str">
        <f t="shared" si="85"/>
        <v/>
      </c>
      <c r="Y82" s="147" t="str">
        <f t="shared" si="32"/>
        <v/>
      </c>
      <c r="Z82" s="147" t="str">
        <f t="shared" si="33"/>
        <v/>
      </c>
      <c r="AA82" s="147" t="str">
        <f t="shared" si="34"/>
        <v/>
      </c>
      <c r="AB82" s="147" t="str">
        <f t="shared" si="35"/>
        <v/>
      </c>
      <c r="AC82" s="147" t="str">
        <f t="shared" si="36"/>
        <v/>
      </c>
      <c r="AD82" s="147" t="str">
        <f t="shared" si="37"/>
        <v/>
      </c>
      <c r="AE82" s="147" t="str">
        <f t="shared" si="38"/>
        <v/>
      </c>
      <c r="AF82" s="147" t="str">
        <f t="shared" si="39"/>
        <v/>
      </c>
      <c r="AG82" s="147" t="str">
        <f t="shared" si="40"/>
        <v/>
      </c>
      <c r="AH82" s="147" t="str">
        <f t="shared" si="41"/>
        <v/>
      </c>
      <c r="AI82" s="147" t="str">
        <f t="shared" si="42"/>
        <v/>
      </c>
      <c r="AJ82" s="147" t="str">
        <f t="shared" si="43"/>
        <v/>
      </c>
      <c r="AK82" s="147" t="str">
        <f t="shared" si="44"/>
        <v/>
      </c>
      <c r="AL82" s="147" t="str">
        <f t="shared" si="45"/>
        <v/>
      </c>
    </row>
    <row r="83" spans="1:38" x14ac:dyDescent="0.3">
      <c r="A83" s="196"/>
      <c r="C83" s="200"/>
      <c r="D83" s="201"/>
      <c r="E83" t="str">
        <f>_xlfn.IFNA(VLOOKUP(C83,'Te gebruiken meststoffen'!$R$3:$AC$10,12,FALSE),"")</f>
        <v/>
      </c>
      <c r="F83" s="52">
        <f t="shared" si="68"/>
        <v>0</v>
      </c>
      <c r="G83" s="52">
        <f t="shared" si="81"/>
        <v>0</v>
      </c>
      <c r="H83" s="52">
        <f t="shared" si="69"/>
        <v>0</v>
      </c>
      <c r="I83" s="52">
        <f t="shared" si="70"/>
        <v>0</v>
      </c>
      <c r="J83" s="52">
        <f t="shared" si="71"/>
        <v>0</v>
      </c>
      <c r="K83" s="52">
        <f t="shared" si="72"/>
        <v>0</v>
      </c>
      <c r="L83" s="52">
        <f t="shared" si="73"/>
        <v>0</v>
      </c>
      <c r="M83" s="53">
        <f t="shared" si="74"/>
        <v>0</v>
      </c>
      <c r="N83">
        <f t="shared" si="75"/>
        <v>0</v>
      </c>
      <c r="O83">
        <f t="shared" si="76"/>
        <v>0</v>
      </c>
      <c r="P83">
        <f t="shared" si="77"/>
        <v>0</v>
      </c>
      <c r="Q83">
        <f t="shared" si="78"/>
        <v>0</v>
      </c>
      <c r="R83">
        <f t="shared" si="79"/>
        <v>0</v>
      </c>
      <c r="S83">
        <f t="shared" si="80"/>
        <v>0</v>
      </c>
      <c r="T83" s="40" t="str">
        <f t="shared" si="82"/>
        <v/>
      </c>
      <c r="U83" t="str">
        <f t="shared" si="83"/>
        <v/>
      </c>
      <c r="V83" t="str">
        <f t="shared" si="84"/>
        <v/>
      </c>
      <c r="W83" s="43" t="str">
        <f t="shared" si="85"/>
        <v/>
      </c>
      <c r="Y83" s="147" t="str">
        <f t="shared" si="32"/>
        <v/>
      </c>
      <c r="Z83" s="147" t="str">
        <f t="shared" si="33"/>
        <v/>
      </c>
      <c r="AA83" s="147" t="str">
        <f t="shared" si="34"/>
        <v/>
      </c>
      <c r="AB83" s="147" t="str">
        <f t="shared" si="35"/>
        <v/>
      </c>
      <c r="AC83" s="147" t="str">
        <f t="shared" si="36"/>
        <v/>
      </c>
      <c r="AD83" s="147" t="str">
        <f t="shared" si="37"/>
        <v/>
      </c>
      <c r="AE83" s="147" t="str">
        <f t="shared" si="38"/>
        <v/>
      </c>
      <c r="AF83" s="147" t="str">
        <f t="shared" si="39"/>
        <v/>
      </c>
      <c r="AG83" s="147" t="str">
        <f t="shared" si="40"/>
        <v/>
      </c>
      <c r="AH83" s="147" t="str">
        <f t="shared" si="41"/>
        <v/>
      </c>
      <c r="AI83" s="147" t="str">
        <f t="shared" si="42"/>
        <v/>
      </c>
      <c r="AJ83" s="147" t="str">
        <f t="shared" si="43"/>
        <v/>
      </c>
      <c r="AK83" s="147" t="str">
        <f t="shared" si="44"/>
        <v/>
      </c>
      <c r="AL83" s="147" t="str">
        <f t="shared" si="45"/>
        <v/>
      </c>
    </row>
    <row r="84" spans="1:38" ht="15" thickBot="1" x14ac:dyDescent="0.35">
      <c r="A84" s="197"/>
      <c r="C84" s="200"/>
      <c r="D84" s="201"/>
      <c r="E84" t="str">
        <f>_xlfn.IFNA(VLOOKUP(C84,'Te gebruiken meststoffen'!$R$3:$AC$10,12,FALSE),"")</f>
        <v/>
      </c>
      <c r="F84" s="52">
        <f t="shared" si="68"/>
        <v>0</v>
      </c>
      <c r="G84" s="52">
        <f t="shared" si="81"/>
        <v>0</v>
      </c>
      <c r="H84" s="52">
        <f t="shared" si="69"/>
        <v>0</v>
      </c>
      <c r="I84" s="52">
        <f t="shared" si="70"/>
        <v>0</v>
      </c>
      <c r="J84" s="52">
        <f t="shared" si="71"/>
        <v>0</v>
      </c>
      <c r="K84" s="52">
        <f t="shared" si="72"/>
        <v>0</v>
      </c>
      <c r="L84" s="52">
        <f t="shared" si="73"/>
        <v>0</v>
      </c>
      <c r="M84" s="53">
        <f t="shared" si="74"/>
        <v>0</v>
      </c>
      <c r="N84">
        <f t="shared" si="75"/>
        <v>0</v>
      </c>
      <c r="O84">
        <f t="shared" si="76"/>
        <v>0</v>
      </c>
      <c r="P84">
        <f t="shared" si="77"/>
        <v>0</v>
      </c>
      <c r="Q84">
        <f t="shared" si="78"/>
        <v>0</v>
      </c>
      <c r="R84">
        <f t="shared" si="79"/>
        <v>0</v>
      </c>
      <c r="S84">
        <f t="shared" si="80"/>
        <v>0</v>
      </c>
      <c r="T84" s="134" t="str">
        <f t="shared" si="82"/>
        <v/>
      </c>
      <c r="U84" s="131" t="str">
        <f t="shared" si="83"/>
        <v/>
      </c>
      <c r="V84" s="131" t="str">
        <f t="shared" si="84"/>
        <v/>
      </c>
      <c r="W84" s="135" t="str">
        <f t="shared" si="85"/>
        <v/>
      </c>
      <c r="Y84" s="147" t="str">
        <f t="shared" si="32"/>
        <v/>
      </c>
      <c r="Z84" s="147" t="str">
        <f t="shared" si="33"/>
        <v/>
      </c>
      <c r="AA84" s="147" t="str">
        <f t="shared" si="34"/>
        <v/>
      </c>
      <c r="AB84" s="147" t="str">
        <f t="shared" si="35"/>
        <v/>
      </c>
      <c r="AC84" s="147" t="str">
        <f t="shared" si="36"/>
        <v/>
      </c>
      <c r="AD84" s="147" t="str">
        <f t="shared" si="37"/>
        <v/>
      </c>
      <c r="AE84" s="147" t="str">
        <f t="shared" si="38"/>
        <v/>
      </c>
      <c r="AF84" s="147" t="str">
        <f t="shared" si="39"/>
        <v/>
      </c>
      <c r="AG84" s="147" t="str">
        <f t="shared" si="40"/>
        <v/>
      </c>
      <c r="AH84" s="147" t="str">
        <f t="shared" si="41"/>
        <v/>
      </c>
      <c r="AI84" s="147" t="str">
        <f t="shared" si="42"/>
        <v/>
      </c>
      <c r="AJ84" s="147" t="str">
        <f t="shared" si="43"/>
        <v/>
      </c>
      <c r="AK84" s="147" t="str">
        <f t="shared" si="44"/>
        <v/>
      </c>
      <c r="AL84" s="147" t="str">
        <f t="shared" si="45"/>
        <v/>
      </c>
    </row>
    <row r="85" spans="1:38" ht="15" thickBot="1" x14ac:dyDescent="0.35">
      <c r="C85" s="75"/>
      <c r="D85" s="76"/>
      <c r="E85" s="56" t="s">
        <v>506</v>
      </c>
      <c r="F85" s="79">
        <f t="shared" ref="F85:M85" si="86">SUM(F79:F84)</f>
        <v>0</v>
      </c>
      <c r="G85" s="79">
        <f>SUM(G78:G84)</f>
        <v>0</v>
      </c>
      <c r="H85" s="79">
        <f t="shared" si="86"/>
        <v>0</v>
      </c>
      <c r="I85" s="79">
        <f t="shared" si="86"/>
        <v>0</v>
      </c>
      <c r="J85" s="79">
        <f t="shared" si="86"/>
        <v>0</v>
      </c>
      <c r="K85" s="79">
        <f t="shared" si="86"/>
        <v>0</v>
      </c>
      <c r="L85" s="79">
        <f t="shared" si="86"/>
        <v>0</v>
      </c>
      <c r="M85" s="112">
        <f t="shared" si="86"/>
        <v>0</v>
      </c>
      <c r="N85" s="60">
        <f>SUM(O79:O84,P71:P76,Q63:Q68)</f>
        <v>0</v>
      </c>
      <c r="T85" s="138"/>
      <c r="U85" s="139"/>
      <c r="V85" s="139">
        <f>SUM(V79:V84)</f>
        <v>0</v>
      </c>
      <c r="W85" s="140">
        <f>SUM(W79:W84)</f>
        <v>0</v>
      </c>
      <c r="Y85" s="147"/>
      <c r="Z85" s="147"/>
      <c r="AA85" s="147"/>
      <c r="AB85" s="147"/>
      <c r="AC85" s="147"/>
      <c r="AD85" s="147"/>
      <c r="AE85" s="147"/>
      <c r="AF85" s="147"/>
      <c r="AG85" s="147"/>
      <c r="AH85" s="147"/>
      <c r="AI85" s="147"/>
      <c r="AJ85" s="147"/>
      <c r="AK85" s="147"/>
      <c r="AL85" s="147"/>
    </row>
    <row r="86" spans="1:38" ht="15" thickBot="1" x14ac:dyDescent="0.35">
      <c r="A86" s="128" t="s">
        <v>611</v>
      </c>
      <c r="C86" s="128" t="s">
        <v>501</v>
      </c>
      <c r="D86" s="76" t="s">
        <v>620</v>
      </c>
      <c r="E86" s="76"/>
      <c r="F86" s="76"/>
      <c r="G86" s="146">
        <f>N93-SUM(G87:G92)</f>
        <v>0</v>
      </c>
      <c r="H86" s="76"/>
      <c r="I86" s="76"/>
      <c r="J86" s="76"/>
      <c r="K86" s="76"/>
      <c r="L86" s="76"/>
      <c r="M86" s="77"/>
      <c r="S86">
        <f>SUM(S87:S92)</f>
        <v>0</v>
      </c>
      <c r="T86" s="75"/>
      <c r="U86" s="76"/>
      <c r="V86" s="76"/>
      <c r="W86" s="77"/>
      <c r="Y86" s="147"/>
      <c r="Z86" s="147"/>
      <c r="AA86" s="147"/>
      <c r="AB86" s="147"/>
      <c r="AC86" s="147"/>
      <c r="AD86" s="147"/>
      <c r="AE86" s="147"/>
      <c r="AF86" s="147"/>
      <c r="AG86" s="147"/>
      <c r="AH86" s="147"/>
      <c r="AI86" s="147"/>
      <c r="AJ86" s="147"/>
      <c r="AK86" s="147"/>
      <c r="AL86" s="147"/>
    </row>
    <row r="87" spans="1:38" x14ac:dyDescent="0.3">
      <c r="A87" s="195"/>
      <c r="C87" s="198"/>
      <c r="D87" s="199"/>
      <c r="E87" s="35" t="str">
        <f>_xlfn.IFNA(VLOOKUP(C87,'Te gebruiken meststoffen'!$R$3:$AC$10,12,FALSE),"")</f>
        <v/>
      </c>
      <c r="F87" s="50">
        <f t="shared" ref="F87:F92" si="87">D87*(IFERROR(VLOOKUP(C87,$C$45:$Q$58,3,FALSE),0))</f>
        <v>0</v>
      </c>
      <c r="G87" s="50">
        <f>O87</f>
        <v>0</v>
      </c>
      <c r="H87" s="50">
        <f t="shared" ref="H87:H92" si="88">D87*(IFERROR(VLOOKUP(C87,$C$45:$Q$58,5,FALSE),0))</f>
        <v>0</v>
      </c>
      <c r="I87" s="50">
        <f t="shared" ref="I87:I92" si="89">D87*(IFERROR(VLOOKUP(C87,$C$45:$Q$58,6,FALSE),0))</f>
        <v>0</v>
      </c>
      <c r="J87" s="50">
        <f t="shared" ref="J87:J92" si="90">D87*(IFERROR(VLOOKUP(C87,$C$45:$Q$58,7,FALSE),0))</f>
        <v>0</v>
      </c>
      <c r="K87" s="50">
        <f t="shared" ref="K87:K92" si="91">D87*(IFERROR(VLOOKUP(C87,$C$45:$Q$58,8,FALSE),0))</f>
        <v>0</v>
      </c>
      <c r="L87" s="50">
        <f t="shared" ref="L87:L92" si="92">D87*(IFERROR(VLOOKUP(C87,$C$45:$Q$58,9,FALSE),0))</f>
        <v>0</v>
      </c>
      <c r="M87" s="51">
        <f t="shared" ref="M87:M92" si="93">D87*(IFERROR(VLOOKUP(C87,$C$45:$Q$58,10,FALSE),0))</f>
        <v>0</v>
      </c>
      <c r="N87">
        <f>O87+P79+Q71+R63</f>
        <v>0</v>
      </c>
      <c r="O87">
        <f t="shared" ref="O87:O92" si="94">D87*(IFERROR(VLOOKUP(C87,$C$45:$Q$58,12,FALSE),0))</f>
        <v>0</v>
      </c>
      <c r="P87">
        <f t="shared" ref="P87:P92" si="95">D87*(IFERROR(VLOOKUP(C87,$C$45:$Q$58,13,FALSE),0))</f>
        <v>0</v>
      </c>
      <c r="Q87">
        <f t="shared" ref="Q87:Q92" si="96">D87*(IFERROR(VLOOKUP(C87,$C$45:$Q$58,14,FALSE),0))</f>
        <v>0</v>
      </c>
      <c r="R87" s="150">
        <f t="shared" ref="R87:R92" si="97">D87*(IFERROR(VLOOKUP(C87,$C$45:$Q$58,15,FALSE),0))</f>
        <v>0</v>
      </c>
      <c r="S87">
        <f t="shared" ref="S87:S92" si="98">IF(F87&gt;0,F87,G87)</f>
        <v>0</v>
      </c>
      <c r="T87" s="34" t="str">
        <f>IF(D87="","",D87*$D$9)</f>
        <v/>
      </c>
      <c r="U87" s="35" t="str">
        <f>IF(D87="","",E87)</f>
        <v/>
      </c>
      <c r="V87" s="35" t="str">
        <f>IF(D87="","",D87*(VLOOKUP(C87,$C$45:$M$58,11,FALSE)))</f>
        <v/>
      </c>
      <c r="W87" s="36" t="str">
        <f>IF(T87="","",T87*(VLOOKUP(C87,$C$45:$M$58,11,FALSE)))</f>
        <v/>
      </c>
      <c r="Y87" s="147" t="str">
        <f t="shared" si="32"/>
        <v/>
      </c>
      <c r="Z87" s="147" t="str">
        <f t="shared" si="33"/>
        <v/>
      </c>
      <c r="AA87" s="147" t="str">
        <f t="shared" si="34"/>
        <v/>
      </c>
      <c r="AB87" s="147" t="str">
        <f t="shared" si="35"/>
        <v/>
      </c>
      <c r="AC87" s="147" t="str">
        <f t="shared" si="36"/>
        <v/>
      </c>
      <c r="AD87" s="147" t="str">
        <f t="shared" si="37"/>
        <v/>
      </c>
      <c r="AE87" s="147" t="str">
        <f t="shared" si="38"/>
        <v/>
      </c>
      <c r="AF87" s="147" t="str">
        <f t="shared" si="39"/>
        <v/>
      </c>
      <c r="AG87" s="147" t="str">
        <f t="shared" si="40"/>
        <v/>
      </c>
      <c r="AH87" s="147" t="str">
        <f t="shared" si="41"/>
        <v/>
      </c>
      <c r="AI87" s="147" t="str">
        <f t="shared" si="42"/>
        <v/>
      </c>
      <c r="AJ87" s="147" t="str">
        <f t="shared" si="43"/>
        <v/>
      </c>
      <c r="AK87" s="147" t="str">
        <f t="shared" si="44"/>
        <v/>
      </c>
      <c r="AL87" s="147" t="str">
        <f t="shared" si="45"/>
        <v/>
      </c>
    </row>
    <row r="88" spans="1:38" x14ac:dyDescent="0.3">
      <c r="A88" s="196"/>
      <c r="C88" s="200"/>
      <c r="D88" s="201"/>
      <c r="E88" t="str">
        <f>_xlfn.IFNA(VLOOKUP(C88,'Te gebruiken meststoffen'!$R$3:$AC$10,12,FALSE),"")</f>
        <v/>
      </c>
      <c r="F88" s="52">
        <f t="shared" si="87"/>
        <v>0</v>
      </c>
      <c r="G88" s="52">
        <f t="shared" ref="G88:G92" si="99">O88</f>
        <v>0</v>
      </c>
      <c r="H88" s="52">
        <f t="shared" si="88"/>
        <v>0</v>
      </c>
      <c r="I88" s="52">
        <f t="shared" si="89"/>
        <v>0</v>
      </c>
      <c r="J88" s="52">
        <f t="shared" si="90"/>
        <v>0</v>
      </c>
      <c r="K88" s="52">
        <f t="shared" si="91"/>
        <v>0</v>
      </c>
      <c r="L88" s="52">
        <f t="shared" si="92"/>
        <v>0</v>
      </c>
      <c r="M88" s="53">
        <f t="shared" si="93"/>
        <v>0</v>
      </c>
      <c r="N88">
        <f>O88+P80+Q72+R64</f>
        <v>0</v>
      </c>
      <c r="O88">
        <f t="shared" si="94"/>
        <v>0</v>
      </c>
      <c r="P88">
        <f t="shared" si="95"/>
        <v>0</v>
      </c>
      <c r="Q88">
        <f t="shared" si="96"/>
        <v>0</v>
      </c>
      <c r="R88" s="150">
        <f t="shared" si="97"/>
        <v>0</v>
      </c>
      <c r="S88">
        <f t="shared" si="98"/>
        <v>0</v>
      </c>
      <c r="T88" s="40" t="str">
        <f t="shared" ref="T88:T92" si="100">IF(D88="","",D88*$D$9)</f>
        <v/>
      </c>
      <c r="U88" t="str">
        <f t="shared" ref="U88:U92" si="101">IF(D88="","",E88)</f>
        <v/>
      </c>
      <c r="V88" t="str">
        <f t="shared" ref="V88:V92" si="102">IF(D88="","",D88*(VLOOKUP(C88,$C$45:$M$58,11,FALSE)))</f>
        <v/>
      </c>
      <c r="W88" s="43" t="str">
        <f t="shared" ref="W88:W92" si="103">IF(T88="","",T88*(VLOOKUP(C88,$C$45:$M$58,11,FALSE)))</f>
        <v/>
      </c>
      <c r="Y88" s="147" t="str">
        <f t="shared" si="32"/>
        <v/>
      </c>
      <c r="Z88" s="147" t="str">
        <f t="shared" si="33"/>
        <v/>
      </c>
      <c r="AA88" s="147" t="str">
        <f t="shared" si="34"/>
        <v/>
      </c>
      <c r="AB88" s="147" t="str">
        <f t="shared" si="35"/>
        <v/>
      </c>
      <c r="AC88" s="147" t="str">
        <f t="shared" si="36"/>
        <v/>
      </c>
      <c r="AD88" s="147" t="str">
        <f t="shared" si="37"/>
        <v/>
      </c>
      <c r="AE88" s="147" t="str">
        <f t="shared" si="38"/>
        <v/>
      </c>
      <c r="AF88" s="147" t="str">
        <f t="shared" si="39"/>
        <v/>
      </c>
      <c r="AG88" s="147" t="str">
        <f t="shared" si="40"/>
        <v/>
      </c>
      <c r="AH88" s="147" t="str">
        <f t="shared" si="41"/>
        <v/>
      </c>
      <c r="AI88" s="147" t="str">
        <f t="shared" si="42"/>
        <v/>
      </c>
      <c r="AJ88" s="147" t="str">
        <f t="shared" si="43"/>
        <v/>
      </c>
      <c r="AK88" s="147" t="str">
        <f t="shared" si="44"/>
        <v/>
      </c>
      <c r="AL88" s="147" t="str">
        <f t="shared" si="45"/>
        <v/>
      </c>
    </row>
    <row r="89" spans="1:38" x14ac:dyDescent="0.3">
      <c r="A89" s="196"/>
      <c r="C89" s="200"/>
      <c r="D89" s="201"/>
      <c r="E89" t="str">
        <f>_xlfn.IFNA(VLOOKUP(C89,'Te gebruiken meststoffen'!$R$3:$AC$10,12,FALSE),"")</f>
        <v/>
      </c>
      <c r="F89" s="52">
        <f t="shared" si="87"/>
        <v>0</v>
      </c>
      <c r="G89" s="52">
        <f t="shared" si="99"/>
        <v>0</v>
      </c>
      <c r="H89" s="52">
        <f t="shared" si="88"/>
        <v>0</v>
      </c>
      <c r="I89" s="52">
        <f t="shared" si="89"/>
        <v>0</v>
      </c>
      <c r="J89" s="52">
        <f t="shared" si="90"/>
        <v>0</v>
      </c>
      <c r="K89" s="52">
        <f t="shared" si="91"/>
        <v>0</v>
      </c>
      <c r="L89" s="52">
        <f t="shared" si="92"/>
        <v>0</v>
      </c>
      <c r="M89" s="53">
        <f t="shared" si="93"/>
        <v>0</v>
      </c>
      <c r="N89">
        <f t="shared" ref="N89:N92" si="104">O89+P81+Q73+R65</f>
        <v>0</v>
      </c>
      <c r="O89">
        <f t="shared" si="94"/>
        <v>0</v>
      </c>
      <c r="P89">
        <f t="shared" si="95"/>
        <v>0</v>
      </c>
      <c r="Q89">
        <f t="shared" si="96"/>
        <v>0</v>
      </c>
      <c r="R89" s="150">
        <f t="shared" si="97"/>
        <v>0</v>
      </c>
      <c r="S89">
        <f t="shared" si="98"/>
        <v>0</v>
      </c>
      <c r="T89" s="40" t="str">
        <f t="shared" si="100"/>
        <v/>
      </c>
      <c r="U89" t="str">
        <f t="shared" si="101"/>
        <v/>
      </c>
      <c r="V89" t="str">
        <f t="shared" si="102"/>
        <v/>
      </c>
      <c r="W89" s="43" t="str">
        <f t="shared" si="103"/>
        <v/>
      </c>
      <c r="Y89" s="147" t="str">
        <f t="shared" si="32"/>
        <v/>
      </c>
      <c r="Z89" s="147" t="str">
        <f t="shared" si="33"/>
        <v/>
      </c>
      <c r="AA89" s="147" t="str">
        <f t="shared" si="34"/>
        <v/>
      </c>
      <c r="AB89" s="147" t="str">
        <f t="shared" si="35"/>
        <v/>
      </c>
      <c r="AC89" s="147" t="str">
        <f t="shared" si="36"/>
        <v/>
      </c>
      <c r="AD89" s="147" t="str">
        <f t="shared" si="37"/>
        <v/>
      </c>
      <c r="AE89" s="147" t="str">
        <f t="shared" si="38"/>
        <v/>
      </c>
      <c r="AF89" s="147" t="str">
        <f t="shared" si="39"/>
        <v/>
      </c>
      <c r="AG89" s="147" t="str">
        <f t="shared" si="40"/>
        <v/>
      </c>
      <c r="AH89" s="147" t="str">
        <f t="shared" si="41"/>
        <v/>
      </c>
      <c r="AI89" s="147" t="str">
        <f t="shared" si="42"/>
        <v/>
      </c>
      <c r="AJ89" s="147" t="str">
        <f t="shared" si="43"/>
        <v/>
      </c>
      <c r="AK89" s="147" t="str">
        <f t="shared" si="44"/>
        <v/>
      </c>
      <c r="AL89" s="147" t="str">
        <f t="shared" si="45"/>
        <v/>
      </c>
    </row>
    <row r="90" spans="1:38" x14ac:dyDescent="0.3">
      <c r="A90" s="196"/>
      <c r="C90" s="200"/>
      <c r="D90" s="201"/>
      <c r="E90" t="str">
        <f>_xlfn.IFNA(VLOOKUP(C90,'Te gebruiken meststoffen'!$R$3:$AC$10,12,FALSE),"")</f>
        <v/>
      </c>
      <c r="F90" s="52">
        <f t="shared" si="87"/>
        <v>0</v>
      </c>
      <c r="G90" s="52">
        <f t="shared" si="99"/>
        <v>0</v>
      </c>
      <c r="H90" s="52">
        <f t="shared" si="88"/>
        <v>0</v>
      </c>
      <c r="I90" s="52">
        <f t="shared" si="89"/>
        <v>0</v>
      </c>
      <c r="J90" s="52">
        <f t="shared" si="90"/>
        <v>0</v>
      </c>
      <c r="K90" s="52">
        <f t="shared" si="91"/>
        <v>0</v>
      </c>
      <c r="L90" s="52">
        <f t="shared" si="92"/>
        <v>0</v>
      </c>
      <c r="M90" s="53">
        <f t="shared" si="93"/>
        <v>0</v>
      </c>
      <c r="N90">
        <f t="shared" si="104"/>
        <v>0</v>
      </c>
      <c r="O90">
        <f t="shared" si="94"/>
        <v>0</v>
      </c>
      <c r="P90">
        <f t="shared" si="95"/>
        <v>0</v>
      </c>
      <c r="Q90">
        <f t="shared" si="96"/>
        <v>0</v>
      </c>
      <c r="R90" s="150">
        <f t="shared" si="97"/>
        <v>0</v>
      </c>
      <c r="S90">
        <f t="shared" si="98"/>
        <v>0</v>
      </c>
      <c r="T90" s="40" t="str">
        <f t="shared" si="100"/>
        <v/>
      </c>
      <c r="U90" t="str">
        <f t="shared" si="101"/>
        <v/>
      </c>
      <c r="V90" t="str">
        <f t="shared" si="102"/>
        <v/>
      </c>
      <c r="W90" s="43" t="str">
        <f t="shared" si="103"/>
        <v/>
      </c>
      <c r="Y90" s="147" t="str">
        <f t="shared" si="32"/>
        <v/>
      </c>
      <c r="Z90" s="147" t="str">
        <f t="shared" si="33"/>
        <v/>
      </c>
      <c r="AA90" s="147" t="str">
        <f t="shared" si="34"/>
        <v/>
      </c>
      <c r="AB90" s="147" t="str">
        <f t="shared" si="35"/>
        <v/>
      </c>
      <c r="AC90" s="147" t="str">
        <f t="shared" si="36"/>
        <v/>
      </c>
      <c r="AD90" s="147" t="str">
        <f t="shared" si="37"/>
        <v/>
      </c>
      <c r="AE90" s="147" t="str">
        <f t="shared" si="38"/>
        <v/>
      </c>
      <c r="AF90" s="147" t="str">
        <f t="shared" si="39"/>
        <v/>
      </c>
      <c r="AG90" s="147" t="str">
        <f t="shared" si="40"/>
        <v/>
      </c>
      <c r="AH90" s="147" t="str">
        <f t="shared" si="41"/>
        <v/>
      </c>
      <c r="AI90" s="147" t="str">
        <f t="shared" si="42"/>
        <v/>
      </c>
      <c r="AJ90" s="147" t="str">
        <f t="shared" si="43"/>
        <v/>
      </c>
      <c r="AK90" s="147" t="str">
        <f t="shared" si="44"/>
        <v/>
      </c>
      <c r="AL90" s="147" t="str">
        <f t="shared" si="45"/>
        <v/>
      </c>
    </row>
    <row r="91" spans="1:38" x14ac:dyDescent="0.3">
      <c r="A91" s="196"/>
      <c r="C91" s="200"/>
      <c r="D91" s="201"/>
      <c r="E91" t="str">
        <f>_xlfn.IFNA(VLOOKUP(C91,'Te gebruiken meststoffen'!$R$3:$AC$10,12,FALSE),"")</f>
        <v/>
      </c>
      <c r="F91" s="52">
        <f t="shared" si="87"/>
        <v>0</v>
      </c>
      <c r="G91" s="52">
        <f t="shared" si="99"/>
        <v>0</v>
      </c>
      <c r="H91" s="52">
        <f t="shared" si="88"/>
        <v>0</v>
      </c>
      <c r="I91" s="52">
        <f t="shared" si="89"/>
        <v>0</v>
      </c>
      <c r="J91" s="52">
        <f t="shared" si="90"/>
        <v>0</v>
      </c>
      <c r="K91" s="52">
        <f t="shared" si="91"/>
        <v>0</v>
      </c>
      <c r="L91" s="52">
        <f t="shared" si="92"/>
        <v>0</v>
      </c>
      <c r="M91" s="53">
        <f t="shared" si="93"/>
        <v>0</v>
      </c>
      <c r="N91">
        <f t="shared" si="104"/>
        <v>0</v>
      </c>
      <c r="O91">
        <f t="shared" si="94"/>
        <v>0</v>
      </c>
      <c r="P91">
        <f t="shared" si="95"/>
        <v>0</v>
      </c>
      <c r="Q91">
        <f t="shared" si="96"/>
        <v>0</v>
      </c>
      <c r="R91" s="150">
        <f t="shared" si="97"/>
        <v>0</v>
      </c>
      <c r="S91">
        <f t="shared" si="98"/>
        <v>0</v>
      </c>
      <c r="T91" s="40" t="str">
        <f t="shared" si="100"/>
        <v/>
      </c>
      <c r="U91" t="str">
        <f t="shared" si="101"/>
        <v/>
      </c>
      <c r="V91" t="str">
        <f t="shared" si="102"/>
        <v/>
      </c>
      <c r="W91" s="43" t="str">
        <f t="shared" si="103"/>
        <v/>
      </c>
      <c r="Y91" s="147" t="str">
        <f t="shared" si="32"/>
        <v/>
      </c>
      <c r="Z91" s="147" t="str">
        <f t="shared" si="33"/>
        <v/>
      </c>
      <c r="AA91" s="147" t="str">
        <f t="shared" si="34"/>
        <v/>
      </c>
      <c r="AB91" s="147" t="str">
        <f t="shared" si="35"/>
        <v/>
      </c>
      <c r="AC91" s="147" t="str">
        <f t="shared" si="36"/>
        <v/>
      </c>
      <c r="AD91" s="147" t="str">
        <f t="shared" si="37"/>
        <v/>
      </c>
      <c r="AE91" s="147" t="str">
        <f t="shared" si="38"/>
        <v/>
      </c>
      <c r="AF91" s="147" t="str">
        <f t="shared" si="39"/>
        <v/>
      </c>
      <c r="AG91" s="147" t="str">
        <f t="shared" si="40"/>
        <v/>
      </c>
      <c r="AH91" s="147" t="str">
        <f t="shared" si="41"/>
        <v/>
      </c>
      <c r="AI91" s="147" t="str">
        <f t="shared" si="42"/>
        <v/>
      </c>
      <c r="AJ91" s="147" t="str">
        <f t="shared" si="43"/>
        <v/>
      </c>
      <c r="AK91" s="147" t="str">
        <f t="shared" si="44"/>
        <v/>
      </c>
      <c r="AL91" s="147" t="str">
        <f t="shared" si="45"/>
        <v/>
      </c>
    </row>
    <row r="92" spans="1:38" ht="15" thickBot="1" x14ac:dyDescent="0.35">
      <c r="A92" s="197"/>
      <c r="C92" s="200"/>
      <c r="D92" s="201"/>
      <c r="E92" t="str">
        <f>_xlfn.IFNA(VLOOKUP(C92,'Te gebruiken meststoffen'!$R$3:$AC$10,12,FALSE),"")</f>
        <v/>
      </c>
      <c r="F92" s="52">
        <f t="shared" si="87"/>
        <v>0</v>
      </c>
      <c r="G92" s="52">
        <f t="shared" si="99"/>
        <v>0</v>
      </c>
      <c r="H92" s="52">
        <f t="shared" si="88"/>
        <v>0</v>
      </c>
      <c r="I92" s="52">
        <f t="shared" si="89"/>
        <v>0</v>
      </c>
      <c r="J92" s="52">
        <f t="shared" si="90"/>
        <v>0</v>
      </c>
      <c r="K92" s="52">
        <f t="shared" si="91"/>
        <v>0</v>
      </c>
      <c r="L92" s="52">
        <f t="shared" si="92"/>
        <v>0</v>
      </c>
      <c r="M92" s="53">
        <f t="shared" si="93"/>
        <v>0</v>
      </c>
      <c r="N92">
        <f t="shared" si="104"/>
        <v>0</v>
      </c>
      <c r="O92">
        <f t="shared" si="94"/>
        <v>0</v>
      </c>
      <c r="P92">
        <f t="shared" si="95"/>
        <v>0</v>
      </c>
      <c r="Q92">
        <f t="shared" si="96"/>
        <v>0</v>
      </c>
      <c r="R92" s="150">
        <f t="shared" si="97"/>
        <v>0</v>
      </c>
      <c r="S92">
        <f t="shared" si="98"/>
        <v>0</v>
      </c>
      <c r="T92" s="134" t="str">
        <f t="shared" si="100"/>
        <v/>
      </c>
      <c r="U92" s="131" t="str">
        <f t="shared" si="101"/>
        <v/>
      </c>
      <c r="V92" s="131" t="str">
        <f t="shared" si="102"/>
        <v/>
      </c>
      <c r="W92" s="135" t="str">
        <f t="shared" si="103"/>
        <v/>
      </c>
      <c r="Y92" s="147" t="str">
        <f t="shared" si="32"/>
        <v/>
      </c>
      <c r="Z92" s="147" t="str">
        <f t="shared" si="33"/>
        <v/>
      </c>
      <c r="AA92" s="147" t="str">
        <f t="shared" si="34"/>
        <v/>
      </c>
      <c r="AB92" s="147" t="str">
        <f t="shared" si="35"/>
        <v/>
      </c>
      <c r="AC92" s="147" t="str">
        <f t="shared" si="36"/>
        <v/>
      </c>
      <c r="AD92" s="147" t="str">
        <f t="shared" si="37"/>
        <v/>
      </c>
      <c r="AE92" s="147" t="str">
        <f t="shared" si="38"/>
        <v/>
      </c>
      <c r="AF92" s="147" t="str">
        <f t="shared" si="39"/>
        <v/>
      </c>
      <c r="AG92" s="147" t="str">
        <f t="shared" si="40"/>
        <v/>
      </c>
      <c r="AH92" s="147" t="str">
        <f t="shared" si="41"/>
        <v/>
      </c>
      <c r="AI92" s="147" t="str">
        <f t="shared" si="42"/>
        <v/>
      </c>
      <c r="AJ92" s="147" t="str">
        <f t="shared" si="43"/>
        <v/>
      </c>
      <c r="AK92" s="147" t="str">
        <f t="shared" si="44"/>
        <v/>
      </c>
      <c r="AL92" s="147" t="str">
        <f t="shared" si="45"/>
        <v/>
      </c>
    </row>
    <row r="93" spans="1:38" ht="15" thickBot="1" x14ac:dyDescent="0.35">
      <c r="C93" s="75"/>
      <c r="D93" s="76"/>
      <c r="E93" s="56" t="s">
        <v>507</v>
      </c>
      <c r="F93" s="79">
        <f t="shared" ref="F93:M93" si="105">SUM(F87:F92)</f>
        <v>0</v>
      </c>
      <c r="G93" s="79">
        <f>SUM(G86:G92)</f>
        <v>0</v>
      </c>
      <c r="H93" s="79">
        <f t="shared" si="105"/>
        <v>0</v>
      </c>
      <c r="I93" s="79">
        <f t="shared" si="105"/>
        <v>0</v>
      </c>
      <c r="J93" s="79">
        <f t="shared" si="105"/>
        <v>0</v>
      </c>
      <c r="K93" s="79">
        <f t="shared" si="105"/>
        <v>0</v>
      </c>
      <c r="L93" s="79">
        <f t="shared" si="105"/>
        <v>0</v>
      </c>
      <c r="M93" s="112">
        <f t="shared" si="105"/>
        <v>0</v>
      </c>
      <c r="N93" s="60">
        <f>SUM(O87:O92,P79:P84,Q71:Q76,R63:R68)</f>
        <v>0</v>
      </c>
      <c r="T93" s="138"/>
      <c r="U93" s="139"/>
      <c r="V93" s="139">
        <f>SUM(V87:V92)</f>
        <v>0</v>
      </c>
      <c r="W93" s="140">
        <f>SUM(W87:W92)</f>
        <v>0</v>
      </c>
      <c r="Y93" s="147"/>
      <c r="Z93" s="147"/>
      <c r="AA93" s="147"/>
      <c r="AB93" s="147"/>
      <c r="AC93" s="147"/>
      <c r="AD93" s="147"/>
      <c r="AE93" s="147"/>
      <c r="AF93" s="147"/>
      <c r="AG93" s="147"/>
      <c r="AH93" s="147"/>
      <c r="AI93" s="147"/>
      <c r="AJ93" s="147"/>
      <c r="AK93" s="147"/>
      <c r="AL93" s="147"/>
    </row>
    <row r="94" spans="1:38" ht="15" thickBot="1" x14ac:dyDescent="0.35">
      <c r="A94" s="128" t="s">
        <v>611</v>
      </c>
      <c r="C94" s="128" t="s">
        <v>502</v>
      </c>
      <c r="D94" s="76" t="s">
        <v>620</v>
      </c>
      <c r="E94" s="76"/>
      <c r="F94" s="76"/>
      <c r="G94" s="146">
        <f>N101-SUM(G95:G100)</f>
        <v>0</v>
      </c>
      <c r="H94" s="76"/>
      <c r="I94" s="76"/>
      <c r="J94" s="76"/>
      <c r="K94" s="76"/>
      <c r="L94" s="76"/>
      <c r="M94" s="77"/>
      <c r="S94">
        <f>SUM(S95:S100)</f>
        <v>0</v>
      </c>
      <c r="T94" s="75"/>
      <c r="U94" s="76"/>
      <c r="V94" s="76"/>
      <c r="W94" s="77"/>
      <c r="Y94" s="147"/>
      <c r="Z94" s="147"/>
      <c r="AA94" s="147"/>
      <c r="AB94" s="147"/>
      <c r="AC94" s="147"/>
      <c r="AD94" s="147"/>
      <c r="AE94" s="147"/>
      <c r="AF94" s="147"/>
      <c r="AG94" s="147"/>
      <c r="AH94" s="147"/>
      <c r="AI94" s="147"/>
      <c r="AJ94" s="147"/>
      <c r="AK94" s="147"/>
      <c r="AL94" s="147"/>
    </row>
    <row r="95" spans="1:38" x14ac:dyDescent="0.3">
      <c r="A95" s="195"/>
      <c r="C95" s="198"/>
      <c r="D95" s="199"/>
      <c r="E95" s="35" t="str">
        <f>_xlfn.IFNA(VLOOKUP(C95,'Te gebruiken meststoffen'!$R$3:$AC$10,12,FALSE),"")</f>
        <v/>
      </c>
      <c r="F95" s="50">
        <f t="shared" ref="F95:F100" si="106">D95*(IFERROR(VLOOKUP(C95,$C$45:$Q$58,3,FALSE),0))</f>
        <v>0</v>
      </c>
      <c r="G95" s="50">
        <f>O95</f>
        <v>0</v>
      </c>
      <c r="H95" s="50">
        <f t="shared" ref="H95:H100" si="107">D95*(IFERROR(VLOOKUP(C95,$C$45:$Q$58,5,FALSE),0))</f>
        <v>0</v>
      </c>
      <c r="I95" s="50">
        <f t="shared" ref="I95:I100" si="108">D95*(IFERROR(VLOOKUP(C95,$C$45:$Q$58,6,FALSE),0))</f>
        <v>0</v>
      </c>
      <c r="J95" s="50">
        <f t="shared" ref="J95:J100" si="109">D95*(IFERROR(VLOOKUP(C95,$C$45:$Q$58,7,FALSE),0))</f>
        <v>0</v>
      </c>
      <c r="K95" s="50">
        <f t="shared" ref="K95:K100" si="110">D95*(IFERROR(VLOOKUP(C95,$C$45:$Q$58,8,FALSE),0))</f>
        <v>0</v>
      </c>
      <c r="L95" s="50">
        <f t="shared" ref="L95:L100" si="111">D95*(IFERROR(VLOOKUP(C95,$C$45:$Q$58,9,FALSE),0))</f>
        <v>0</v>
      </c>
      <c r="M95" s="51">
        <f t="shared" ref="M95:M100" si="112">D95*(IFERROR(VLOOKUP(C95,$C$45:$Q$58,10,FALSE),0))</f>
        <v>0</v>
      </c>
      <c r="N95">
        <f t="shared" ref="N95:N100" si="113">O95+P87+Q79+R71</f>
        <v>0</v>
      </c>
      <c r="O95">
        <f t="shared" ref="O95:O100" si="114">D95*(IFERROR(VLOOKUP(C95,$C$45:$Q$58,12,FALSE),0))</f>
        <v>0</v>
      </c>
      <c r="P95">
        <f t="shared" ref="P95:P100" si="115">D95*(IFERROR(VLOOKUP(C95,$C$45:$Q$58,13,FALSE),0))</f>
        <v>0</v>
      </c>
      <c r="Q95" s="150">
        <f t="shared" ref="Q95:Q100" si="116">D95*(IFERROR(VLOOKUP(C95,$C$45:$Q$58,14,FALSE),0))</f>
        <v>0</v>
      </c>
      <c r="R95" s="150">
        <f t="shared" ref="R95:R100" si="117">D95*(IFERROR(VLOOKUP(C95,$C$45:$Q$58,15,FALSE),0))</f>
        <v>0</v>
      </c>
      <c r="S95">
        <f t="shared" ref="S95:S100" si="118">IF(F95&gt;0,F95,G95)</f>
        <v>0</v>
      </c>
      <c r="T95" s="34" t="str">
        <f>IF(D95="","",D95*$D$9)</f>
        <v/>
      </c>
      <c r="U95" s="35" t="str">
        <f>IF(D95="","",E95)</f>
        <v/>
      </c>
      <c r="V95" s="35" t="str">
        <f>IF(D95="","",D95*(VLOOKUP(C95,$C$45:$M$58,11,FALSE)))</f>
        <v/>
      </c>
      <c r="W95" s="36" t="str">
        <f>IF(T95="","",T95*(VLOOKUP(C95,$C$45:$M$58,11,FALSE)))</f>
        <v/>
      </c>
      <c r="Y95" s="147" t="str">
        <f t="shared" si="32"/>
        <v/>
      </c>
      <c r="Z95" s="147" t="str">
        <f t="shared" si="33"/>
        <v/>
      </c>
      <c r="AA95" s="147" t="str">
        <f t="shared" si="34"/>
        <v/>
      </c>
      <c r="AB95" s="147" t="str">
        <f t="shared" si="35"/>
        <v/>
      </c>
      <c r="AC95" s="147" t="str">
        <f t="shared" si="36"/>
        <v/>
      </c>
      <c r="AD95" s="147" t="str">
        <f t="shared" si="37"/>
        <v/>
      </c>
      <c r="AE95" s="147" t="str">
        <f t="shared" si="38"/>
        <v/>
      </c>
      <c r="AF95" s="147" t="str">
        <f t="shared" si="39"/>
        <v/>
      </c>
      <c r="AG95" s="147" t="str">
        <f t="shared" si="40"/>
        <v/>
      </c>
      <c r="AH95" s="147" t="str">
        <f t="shared" si="41"/>
        <v/>
      </c>
      <c r="AI95" s="147" t="str">
        <f t="shared" si="42"/>
        <v/>
      </c>
      <c r="AJ95" s="147" t="str">
        <f t="shared" si="43"/>
        <v/>
      </c>
      <c r="AK95" s="147" t="str">
        <f t="shared" si="44"/>
        <v/>
      </c>
      <c r="AL95" s="147" t="str">
        <f t="shared" si="45"/>
        <v/>
      </c>
    </row>
    <row r="96" spans="1:38" x14ac:dyDescent="0.3">
      <c r="A96" s="196"/>
      <c r="C96" s="200"/>
      <c r="D96" s="201"/>
      <c r="E96" t="str">
        <f>_xlfn.IFNA(VLOOKUP(C96,'Te gebruiken meststoffen'!$R$3:$AC$10,12,FALSE),"")</f>
        <v/>
      </c>
      <c r="F96" s="52">
        <f t="shared" si="106"/>
        <v>0</v>
      </c>
      <c r="G96" s="52">
        <f t="shared" ref="G96:G100" si="119">O96</f>
        <v>0</v>
      </c>
      <c r="H96" s="52">
        <f t="shared" si="107"/>
        <v>0</v>
      </c>
      <c r="I96" s="52">
        <f t="shared" si="108"/>
        <v>0</v>
      </c>
      <c r="J96" s="52">
        <f t="shared" si="109"/>
        <v>0</v>
      </c>
      <c r="K96" s="52">
        <f t="shared" si="110"/>
        <v>0</v>
      </c>
      <c r="L96" s="52">
        <f t="shared" si="111"/>
        <v>0</v>
      </c>
      <c r="M96" s="53">
        <f t="shared" si="112"/>
        <v>0</v>
      </c>
      <c r="N96">
        <f>O96+P88+Q80+R72</f>
        <v>0</v>
      </c>
      <c r="O96">
        <f t="shared" si="114"/>
        <v>0</v>
      </c>
      <c r="P96">
        <f t="shared" si="115"/>
        <v>0</v>
      </c>
      <c r="Q96" s="150">
        <f t="shared" si="116"/>
        <v>0</v>
      </c>
      <c r="R96" s="150">
        <f t="shared" si="117"/>
        <v>0</v>
      </c>
      <c r="S96">
        <f t="shared" si="118"/>
        <v>0</v>
      </c>
      <c r="T96" s="40" t="str">
        <f t="shared" ref="T96:T100" si="120">IF(D96="","",D96*$D$9)</f>
        <v/>
      </c>
      <c r="U96" t="str">
        <f t="shared" ref="U96:U100" si="121">IF(D96="","",E96)</f>
        <v/>
      </c>
      <c r="V96" t="str">
        <f t="shared" ref="V96:V100" si="122">IF(D96="","",D96*(VLOOKUP(C96,$C$45:$M$58,11,FALSE)))</f>
        <v/>
      </c>
      <c r="W96" s="43" t="str">
        <f t="shared" ref="W96:W100" si="123">IF(T96="","",T96*(VLOOKUP(C96,$C$45:$M$58,11,FALSE)))</f>
        <v/>
      </c>
      <c r="Y96" s="147" t="str">
        <f t="shared" si="32"/>
        <v/>
      </c>
      <c r="Z96" s="147" t="str">
        <f t="shared" si="33"/>
        <v/>
      </c>
      <c r="AA96" s="147" t="str">
        <f t="shared" si="34"/>
        <v/>
      </c>
      <c r="AB96" s="147" t="str">
        <f t="shared" si="35"/>
        <v/>
      </c>
      <c r="AC96" s="147" t="str">
        <f t="shared" si="36"/>
        <v/>
      </c>
      <c r="AD96" s="147" t="str">
        <f t="shared" si="37"/>
        <v/>
      </c>
      <c r="AE96" s="147" t="str">
        <f t="shared" si="38"/>
        <v/>
      </c>
      <c r="AF96" s="147" t="str">
        <f t="shared" si="39"/>
        <v/>
      </c>
      <c r="AG96" s="147" t="str">
        <f t="shared" si="40"/>
        <v/>
      </c>
      <c r="AH96" s="147" t="str">
        <f t="shared" si="41"/>
        <v/>
      </c>
      <c r="AI96" s="147" t="str">
        <f t="shared" si="42"/>
        <v/>
      </c>
      <c r="AJ96" s="147" t="str">
        <f t="shared" si="43"/>
        <v/>
      </c>
      <c r="AK96" s="147" t="str">
        <f t="shared" si="44"/>
        <v/>
      </c>
      <c r="AL96" s="147" t="str">
        <f t="shared" si="45"/>
        <v/>
      </c>
    </row>
    <row r="97" spans="1:38" x14ac:dyDescent="0.3">
      <c r="A97" s="196"/>
      <c r="C97" s="200"/>
      <c r="D97" s="201"/>
      <c r="E97" t="str">
        <f>_xlfn.IFNA(VLOOKUP(C97,'Te gebruiken meststoffen'!$R$3:$AC$10,12,FALSE),"")</f>
        <v/>
      </c>
      <c r="F97" s="52">
        <f t="shared" si="106"/>
        <v>0</v>
      </c>
      <c r="G97" s="52">
        <f t="shared" si="119"/>
        <v>0</v>
      </c>
      <c r="H97" s="52">
        <f t="shared" si="107"/>
        <v>0</v>
      </c>
      <c r="I97" s="52">
        <f t="shared" si="108"/>
        <v>0</v>
      </c>
      <c r="J97" s="52">
        <f t="shared" si="109"/>
        <v>0</v>
      </c>
      <c r="K97" s="52">
        <f t="shared" si="110"/>
        <v>0</v>
      </c>
      <c r="L97" s="52">
        <f t="shared" si="111"/>
        <v>0</v>
      </c>
      <c r="M97" s="53">
        <f t="shared" si="112"/>
        <v>0</v>
      </c>
      <c r="N97">
        <f t="shared" si="113"/>
        <v>0</v>
      </c>
      <c r="O97">
        <f t="shared" si="114"/>
        <v>0</v>
      </c>
      <c r="P97">
        <f t="shared" si="115"/>
        <v>0</v>
      </c>
      <c r="Q97" s="150">
        <f t="shared" si="116"/>
        <v>0</v>
      </c>
      <c r="R97" s="150">
        <f t="shared" si="117"/>
        <v>0</v>
      </c>
      <c r="S97">
        <f t="shared" si="118"/>
        <v>0</v>
      </c>
      <c r="T97" s="40" t="str">
        <f t="shared" si="120"/>
        <v/>
      </c>
      <c r="U97" t="str">
        <f t="shared" si="121"/>
        <v/>
      </c>
      <c r="V97" t="str">
        <f t="shared" si="122"/>
        <v/>
      </c>
      <c r="W97" s="43" t="str">
        <f t="shared" si="123"/>
        <v/>
      </c>
      <c r="Y97" s="147" t="str">
        <f t="shared" si="32"/>
        <v/>
      </c>
      <c r="Z97" s="147" t="str">
        <f t="shared" si="33"/>
        <v/>
      </c>
      <c r="AA97" s="147" t="str">
        <f t="shared" si="34"/>
        <v/>
      </c>
      <c r="AB97" s="147" t="str">
        <f t="shared" si="35"/>
        <v/>
      </c>
      <c r="AC97" s="147" t="str">
        <f t="shared" si="36"/>
        <v/>
      </c>
      <c r="AD97" s="147" t="str">
        <f t="shared" si="37"/>
        <v/>
      </c>
      <c r="AE97" s="147" t="str">
        <f t="shared" si="38"/>
        <v/>
      </c>
      <c r="AF97" s="147" t="str">
        <f t="shared" si="39"/>
        <v/>
      </c>
      <c r="AG97" s="147" t="str">
        <f t="shared" si="40"/>
        <v/>
      </c>
      <c r="AH97" s="147" t="str">
        <f t="shared" si="41"/>
        <v/>
      </c>
      <c r="AI97" s="147" t="str">
        <f t="shared" si="42"/>
        <v/>
      </c>
      <c r="AJ97" s="147" t="str">
        <f t="shared" si="43"/>
        <v/>
      </c>
      <c r="AK97" s="147" t="str">
        <f t="shared" si="44"/>
        <v/>
      </c>
      <c r="AL97" s="147" t="str">
        <f t="shared" si="45"/>
        <v/>
      </c>
    </row>
    <row r="98" spans="1:38" x14ac:dyDescent="0.3">
      <c r="A98" s="196"/>
      <c r="C98" s="200"/>
      <c r="D98" s="201"/>
      <c r="E98" t="str">
        <f>_xlfn.IFNA(VLOOKUP(C98,'Te gebruiken meststoffen'!$R$3:$AC$10,12,FALSE),"")</f>
        <v/>
      </c>
      <c r="F98" s="52">
        <f t="shared" si="106"/>
        <v>0</v>
      </c>
      <c r="G98" s="52">
        <f t="shared" si="119"/>
        <v>0</v>
      </c>
      <c r="H98" s="52">
        <f t="shared" si="107"/>
        <v>0</v>
      </c>
      <c r="I98" s="52">
        <f t="shared" si="108"/>
        <v>0</v>
      </c>
      <c r="J98" s="52">
        <f t="shared" si="109"/>
        <v>0</v>
      </c>
      <c r="K98" s="52">
        <f t="shared" si="110"/>
        <v>0</v>
      </c>
      <c r="L98" s="52">
        <f t="shared" si="111"/>
        <v>0</v>
      </c>
      <c r="M98" s="53">
        <f t="shared" si="112"/>
        <v>0</v>
      </c>
      <c r="N98">
        <f t="shared" si="113"/>
        <v>0</v>
      </c>
      <c r="O98">
        <f t="shared" si="114"/>
        <v>0</v>
      </c>
      <c r="P98">
        <f t="shared" si="115"/>
        <v>0</v>
      </c>
      <c r="Q98" s="150">
        <f t="shared" si="116"/>
        <v>0</v>
      </c>
      <c r="R98" s="150">
        <f t="shared" si="117"/>
        <v>0</v>
      </c>
      <c r="S98">
        <f t="shared" si="118"/>
        <v>0</v>
      </c>
      <c r="T98" s="40" t="str">
        <f t="shared" si="120"/>
        <v/>
      </c>
      <c r="U98" t="str">
        <f t="shared" si="121"/>
        <v/>
      </c>
      <c r="V98" t="str">
        <f t="shared" si="122"/>
        <v/>
      </c>
      <c r="W98" s="43" t="str">
        <f t="shared" si="123"/>
        <v/>
      </c>
      <c r="Y98" s="147" t="str">
        <f t="shared" si="32"/>
        <v/>
      </c>
      <c r="Z98" s="147" t="str">
        <f t="shared" si="33"/>
        <v/>
      </c>
      <c r="AA98" s="147" t="str">
        <f t="shared" si="34"/>
        <v/>
      </c>
      <c r="AB98" s="147" t="str">
        <f t="shared" si="35"/>
        <v/>
      </c>
      <c r="AC98" s="147" t="str">
        <f t="shared" si="36"/>
        <v/>
      </c>
      <c r="AD98" s="147" t="str">
        <f t="shared" si="37"/>
        <v/>
      </c>
      <c r="AE98" s="147" t="str">
        <f t="shared" si="38"/>
        <v/>
      </c>
      <c r="AF98" s="147" t="str">
        <f t="shared" si="39"/>
        <v/>
      </c>
      <c r="AG98" s="147" t="str">
        <f t="shared" si="40"/>
        <v/>
      </c>
      <c r="AH98" s="147" t="str">
        <f t="shared" si="41"/>
        <v/>
      </c>
      <c r="AI98" s="147" t="str">
        <f t="shared" si="42"/>
        <v/>
      </c>
      <c r="AJ98" s="147" t="str">
        <f t="shared" si="43"/>
        <v/>
      </c>
      <c r="AK98" s="147" t="str">
        <f t="shared" si="44"/>
        <v/>
      </c>
      <c r="AL98" s="147" t="str">
        <f t="shared" si="45"/>
        <v/>
      </c>
    </row>
    <row r="99" spans="1:38" x14ac:dyDescent="0.3">
      <c r="A99" s="196"/>
      <c r="C99" s="200"/>
      <c r="D99" s="201"/>
      <c r="E99" t="str">
        <f>_xlfn.IFNA(VLOOKUP(C99,'Te gebruiken meststoffen'!$R$3:$AC$10,12,FALSE),"")</f>
        <v/>
      </c>
      <c r="F99" s="52">
        <f t="shared" si="106"/>
        <v>0</v>
      </c>
      <c r="G99" s="52">
        <f t="shared" si="119"/>
        <v>0</v>
      </c>
      <c r="H99" s="52">
        <f t="shared" si="107"/>
        <v>0</v>
      </c>
      <c r="I99" s="52">
        <f t="shared" si="108"/>
        <v>0</v>
      </c>
      <c r="J99" s="52">
        <f t="shared" si="109"/>
        <v>0</v>
      </c>
      <c r="K99" s="52">
        <f t="shared" si="110"/>
        <v>0</v>
      </c>
      <c r="L99" s="52">
        <f t="shared" si="111"/>
        <v>0</v>
      </c>
      <c r="M99" s="53">
        <f t="shared" si="112"/>
        <v>0</v>
      </c>
      <c r="N99">
        <f t="shared" si="113"/>
        <v>0</v>
      </c>
      <c r="O99">
        <f t="shared" si="114"/>
        <v>0</v>
      </c>
      <c r="P99">
        <f t="shared" si="115"/>
        <v>0</v>
      </c>
      <c r="Q99" s="150">
        <f t="shared" si="116"/>
        <v>0</v>
      </c>
      <c r="R99" s="150">
        <f t="shared" si="117"/>
        <v>0</v>
      </c>
      <c r="S99">
        <f t="shared" si="118"/>
        <v>0</v>
      </c>
      <c r="T99" s="40" t="str">
        <f t="shared" si="120"/>
        <v/>
      </c>
      <c r="U99" t="str">
        <f t="shared" si="121"/>
        <v/>
      </c>
      <c r="V99" t="str">
        <f t="shared" si="122"/>
        <v/>
      </c>
      <c r="W99" s="43" t="str">
        <f t="shared" si="123"/>
        <v/>
      </c>
      <c r="Y99" s="147" t="str">
        <f t="shared" si="32"/>
        <v/>
      </c>
      <c r="Z99" s="147" t="str">
        <f t="shared" si="33"/>
        <v/>
      </c>
      <c r="AA99" s="147" t="str">
        <f t="shared" si="34"/>
        <v/>
      </c>
      <c r="AB99" s="147" t="str">
        <f t="shared" si="35"/>
        <v/>
      </c>
      <c r="AC99" s="147" t="str">
        <f t="shared" si="36"/>
        <v/>
      </c>
      <c r="AD99" s="147" t="str">
        <f t="shared" si="37"/>
        <v/>
      </c>
      <c r="AE99" s="147" t="str">
        <f t="shared" si="38"/>
        <v/>
      </c>
      <c r="AF99" s="147" t="str">
        <f t="shared" si="39"/>
        <v/>
      </c>
      <c r="AG99" s="147" t="str">
        <f t="shared" si="40"/>
        <v/>
      </c>
      <c r="AH99" s="147" t="str">
        <f t="shared" si="41"/>
        <v/>
      </c>
      <c r="AI99" s="147" t="str">
        <f t="shared" si="42"/>
        <v/>
      </c>
      <c r="AJ99" s="147" t="str">
        <f t="shared" si="43"/>
        <v/>
      </c>
      <c r="AK99" s="147" t="str">
        <f t="shared" si="44"/>
        <v/>
      </c>
      <c r="AL99" s="147" t="str">
        <f t="shared" si="45"/>
        <v/>
      </c>
    </row>
    <row r="100" spans="1:38" ht="15" thickBot="1" x14ac:dyDescent="0.35">
      <c r="A100" s="197"/>
      <c r="C100" s="200"/>
      <c r="D100" s="201"/>
      <c r="E100" t="str">
        <f>_xlfn.IFNA(VLOOKUP(C100,'Te gebruiken meststoffen'!$R$3:$AC$10,12,FALSE),"")</f>
        <v/>
      </c>
      <c r="F100" s="52">
        <f t="shared" si="106"/>
        <v>0</v>
      </c>
      <c r="G100" s="52">
        <f t="shared" si="119"/>
        <v>0</v>
      </c>
      <c r="H100" s="52">
        <f t="shared" si="107"/>
        <v>0</v>
      </c>
      <c r="I100" s="52">
        <f t="shared" si="108"/>
        <v>0</v>
      </c>
      <c r="J100" s="52">
        <f t="shared" si="109"/>
        <v>0</v>
      </c>
      <c r="K100" s="52">
        <f t="shared" si="110"/>
        <v>0</v>
      </c>
      <c r="L100" s="52">
        <f t="shared" si="111"/>
        <v>0</v>
      </c>
      <c r="M100" s="53">
        <f t="shared" si="112"/>
        <v>0</v>
      </c>
      <c r="N100">
        <f t="shared" si="113"/>
        <v>0</v>
      </c>
      <c r="O100">
        <f t="shared" si="114"/>
        <v>0</v>
      </c>
      <c r="P100">
        <f t="shared" si="115"/>
        <v>0</v>
      </c>
      <c r="Q100" s="150">
        <f t="shared" si="116"/>
        <v>0</v>
      </c>
      <c r="R100" s="150">
        <f t="shared" si="117"/>
        <v>0</v>
      </c>
      <c r="S100">
        <f t="shared" si="118"/>
        <v>0</v>
      </c>
      <c r="T100" s="134" t="str">
        <f t="shared" si="120"/>
        <v/>
      </c>
      <c r="U100" s="131" t="str">
        <f t="shared" si="121"/>
        <v/>
      </c>
      <c r="V100" s="131" t="str">
        <f t="shared" si="122"/>
        <v/>
      </c>
      <c r="W100" s="135" t="str">
        <f t="shared" si="123"/>
        <v/>
      </c>
      <c r="Y100" s="147" t="str">
        <f t="shared" si="32"/>
        <v/>
      </c>
      <c r="Z100" s="147" t="str">
        <f t="shared" si="33"/>
        <v/>
      </c>
      <c r="AA100" s="147" t="str">
        <f t="shared" si="34"/>
        <v/>
      </c>
      <c r="AB100" s="147" t="str">
        <f t="shared" si="35"/>
        <v/>
      </c>
      <c r="AC100" s="147" t="str">
        <f t="shared" si="36"/>
        <v/>
      </c>
      <c r="AD100" s="147" t="str">
        <f t="shared" si="37"/>
        <v/>
      </c>
      <c r="AE100" s="147" t="str">
        <f t="shared" si="38"/>
        <v/>
      </c>
      <c r="AF100" s="147" t="str">
        <f t="shared" si="39"/>
        <v/>
      </c>
      <c r="AG100" s="147" t="str">
        <f t="shared" si="40"/>
        <v/>
      </c>
      <c r="AH100" s="147" t="str">
        <f t="shared" si="41"/>
        <v/>
      </c>
      <c r="AI100" s="147" t="str">
        <f t="shared" si="42"/>
        <v/>
      </c>
      <c r="AJ100" s="147" t="str">
        <f t="shared" si="43"/>
        <v/>
      </c>
      <c r="AK100" s="147" t="str">
        <f t="shared" si="44"/>
        <v/>
      </c>
      <c r="AL100" s="147" t="str">
        <f t="shared" si="45"/>
        <v/>
      </c>
    </row>
    <row r="101" spans="1:38" ht="15" thickBot="1" x14ac:dyDescent="0.35">
      <c r="C101" s="75"/>
      <c r="D101" s="76"/>
      <c r="E101" s="56" t="s">
        <v>508</v>
      </c>
      <c r="F101" s="79">
        <f t="shared" ref="F101:M101" si="124">SUM(F95:F100)</f>
        <v>0</v>
      </c>
      <c r="G101" s="79">
        <f>SUM(G94:G100)</f>
        <v>0</v>
      </c>
      <c r="H101" s="79">
        <f t="shared" si="124"/>
        <v>0</v>
      </c>
      <c r="I101" s="79">
        <f t="shared" si="124"/>
        <v>0</v>
      </c>
      <c r="J101" s="79">
        <f t="shared" si="124"/>
        <v>0</v>
      </c>
      <c r="K101" s="79">
        <f t="shared" si="124"/>
        <v>0</v>
      </c>
      <c r="L101" s="79">
        <f t="shared" si="124"/>
        <v>0</v>
      </c>
      <c r="M101" s="112">
        <f t="shared" si="124"/>
        <v>0</v>
      </c>
      <c r="N101" s="60">
        <f>SUM(O95:O100,P87:P92,Q79:Q84,R71:R76)</f>
        <v>0</v>
      </c>
      <c r="T101" s="138"/>
      <c r="U101" s="139"/>
      <c r="V101" s="139">
        <f>SUM(V95:V100)</f>
        <v>0</v>
      </c>
      <c r="W101" s="140">
        <f>SUM(W95:W100)</f>
        <v>0</v>
      </c>
      <c r="Y101" s="147"/>
      <c r="Z101" s="147"/>
      <c r="AA101" s="147"/>
      <c r="AB101" s="147"/>
      <c r="AC101" s="147"/>
      <c r="AD101" s="147"/>
      <c r="AE101" s="147"/>
      <c r="AF101" s="147"/>
      <c r="AG101" s="147"/>
      <c r="AH101" s="147"/>
      <c r="AI101" s="147"/>
      <c r="AJ101" s="147"/>
      <c r="AK101" s="147"/>
      <c r="AL101" s="147"/>
    </row>
    <row r="102" spans="1:38" ht="15" thickBot="1" x14ac:dyDescent="0.35">
      <c r="A102" s="128" t="s">
        <v>611</v>
      </c>
      <c r="C102" s="128" t="s">
        <v>503</v>
      </c>
      <c r="D102" s="76" t="s">
        <v>620</v>
      </c>
      <c r="E102" s="76"/>
      <c r="F102" s="76"/>
      <c r="G102" s="114">
        <f>N109-SUM(G103:G108)</f>
        <v>0</v>
      </c>
      <c r="H102" s="76"/>
      <c r="I102" s="76"/>
      <c r="J102" s="76"/>
      <c r="K102" s="76"/>
      <c r="L102" s="76"/>
      <c r="M102" s="77"/>
      <c r="S102">
        <f>SUM(S103:S108)</f>
        <v>0</v>
      </c>
      <c r="T102" s="75"/>
      <c r="U102" s="76"/>
      <c r="V102" s="76"/>
      <c r="W102" s="77"/>
      <c r="Y102" s="147"/>
      <c r="Z102" s="147"/>
      <c r="AA102" s="147"/>
      <c r="AB102" s="147"/>
      <c r="AC102" s="147"/>
      <c r="AD102" s="147"/>
      <c r="AE102" s="147"/>
      <c r="AF102" s="147"/>
      <c r="AG102" s="147"/>
      <c r="AH102" s="147"/>
      <c r="AI102" s="147"/>
      <c r="AJ102" s="147"/>
      <c r="AK102" s="147"/>
      <c r="AL102" s="147"/>
    </row>
    <row r="103" spans="1:38" x14ac:dyDescent="0.3">
      <c r="A103" s="195"/>
      <c r="C103" s="198"/>
      <c r="D103" s="199"/>
      <c r="E103" s="35" t="str">
        <f>_xlfn.IFNA(VLOOKUP(C103,'Te gebruiken meststoffen'!$R$3:$AC$10,12,FALSE),"")</f>
        <v/>
      </c>
      <c r="F103" s="50">
        <f t="shared" ref="F103:F108" si="125">D103*(IFERROR(VLOOKUP(C103,$C$45:$Q$58,3,FALSE),0))</f>
        <v>0</v>
      </c>
      <c r="G103" s="50">
        <f>O103</f>
        <v>0</v>
      </c>
      <c r="H103" s="50">
        <f t="shared" ref="H103:H108" si="126">D103*(IFERROR(VLOOKUP(C103,$C$45:$Q$58,5,FALSE),0))</f>
        <v>0</v>
      </c>
      <c r="I103" s="50">
        <f t="shared" ref="I103:I108" si="127">D103*(IFERROR(VLOOKUP(C103,$C$45:$Q$58,6,FALSE),0))</f>
        <v>0</v>
      </c>
      <c r="J103" s="50">
        <f t="shared" ref="J103:J108" si="128">D103*(IFERROR(VLOOKUP(C103,$C$45:$Q$58,7,FALSE),0))</f>
        <v>0</v>
      </c>
      <c r="K103" s="50">
        <f t="shared" ref="K103:K108" si="129">D103*(IFERROR(VLOOKUP(C103,$C$45:$Q$58,8,FALSE),0))</f>
        <v>0</v>
      </c>
      <c r="L103" s="50">
        <f t="shared" ref="L103:L108" si="130">D103*(IFERROR(VLOOKUP(C103,$C$45:$Q$58,9,FALSE),0))</f>
        <v>0</v>
      </c>
      <c r="M103" s="51">
        <f t="shared" ref="M103:M108" si="131">D103*(IFERROR(VLOOKUP(C103,$C$45:$Q$58,10,FALSE),0))</f>
        <v>0</v>
      </c>
      <c r="N103">
        <f>O103+P95+Q87+R79</f>
        <v>0</v>
      </c>
      <c r="O103">
        <f t="shared" ref="O103:O108" si="132">D103*(IFERROR(VLOOKUP(C103,$C$45:$Q$58,12,FALSE),0))</f>
        <v>0</v>
      </c>
      <c r="P103" s="150">
        <f t="shared" ref="P103:P108" si="133">D103*(IFERROR(VLOOKUP(C103,$C$45:$Q$58,13,FALSE),0))</f>
        <v>0</v>
      </c>
      <c r="Q103" s="150">
        <f t="shared" ref="Q103:Q108" si="134">D103*(IFERROR(VLOOKUP(C103,$C$45:$Q$58,14,FALSE),0))</f>
        <v>0</v>
      </c>
      <c r="R103" s="150">
        <f t="shared" ref="R103:R108" si="135">D103*(IFERROR(VLOOKUP(C103,$C$45:$Q$58,15,FALSE),0))</f>
        <v>0</v>
      </c>
      <c r="S103">
        <f t="shared" ref="S103:S108" si="136">IF(F103&gt;0,F103,G103)</f>
        <v>0</v>
      </c>
      <c r="T103" s="34" t="str">
        <f>IF(D103="","",D103*$D$9)</f>
        <v/>
      </c>
      <c r="U103" s="35" t="str">
        <f>IF(D103="","",E103)</f>
        <v/>
      </c>
      <c r="V103" s="35" t="str">
        <f>IF(D103="","",D103*(VLOOKUP(C103,$C$45:$M$58,11,FALSE)))</f>
        <v/>
      </c>
      <c r="W103" s="36" t="str">
        <f>IF(T103="","",T103*(VLOOKUP(C103,$C$45:$M$58,11,FALSE)))</f>
        <v/>
      </c>
      <c r="Y103" s="147" t="str">
        <f t="shared" si="32"/>
        <v/>
      </c>
      <c r="Z103" s="147" t="str">
        <f t="shared" si="33"/>
        <v/>
      </c>
      <c r="AA103" s="147" t="str">
        <f t="shared" si="34"/>
        <v/>
      </c>
      <c r="AB103" s="147" t="str">
        <f t="shared" si="35"/>
        <v/>
      </c>
      <c r="AC103" s="147" t="str">
        <f t="shared" si="36"/>
        <v/>
      </c>
      <c r="AD103" s="147" t="str">
        <f t="shared" si="37"/>
        <v/>
      </c>
      <c r="AE103" s="147" t="str">
        <f t="shared" si="38"/>
        <v/>
      </c>
      <c r="AF103" s="147" t="str">
        <f t="shared" si="39"/>
        <v/>
      </c>
      <c r="AG103" s="147" t="str">
        <f t="shared" si="40"/>
        <v/>
      </c>
      <c r="AH103" s="147" t="str">
        <f t="shared" si="41"/>
        <v/>
      </c>
      <c r="AI103" s="147" t="str">
        <f t="shared" si="42"/>
        <v/>
      </c>
      <c r="AJ103" s="147" t="str">
        <f t="shared" si="43"/>
        <v/>
      </c>
      <c r="AK103" s="147" t="str">
        <f t="shared" si="44"/>
        <v/>
      </c>
      <c r="AL103" s="147" t="str">
        <f t="shared" si="45"/>
        <v/>
      </c>
    </row>
    <row r="104" spans="1:38" x14ac:dyDescent="0.3">
      <c r="A104" s="196"/>
      <c r="C104" s="200"/>
      <c r="D104" s="201"/>
      <c r="E104" t="str">
        <f>_xlfn.IFNA(VLOOKUP(C104,'Te gebruiken meststoffen'!$R$3:$AC$10,12,FALSE),"")</f>
        <v/>
      </c>
      <c r="F104" s="52">
        <f t="shared" si="125"/>
        <v>0</v>
      </c>
      <c r="G104" s="52">
        <f t="shared" ref="G104:G108" si="137">O104</f>
        <v>0</v>
      </c>
      <c r="H104" s="52">
        <f t="shared" si="126"/>
        <v>0</v>
      </c>
      <c r="I104" s="52">
        <f t="shared" si="127"/>
        <v>0</v>
      </c>
      <c r="J104" s="52">
        <f t="shared" si="128"/>
        <v>0</v>
      </c>
      <c r="K104" s="52">
        <f t="shared" si="129"/>
        <v>0</v>
      </c>
      <c r="L104" s="52">
        <f t="shared" si="130"/>
        <v>0</v>
      </c>
      <c r="M104" s="53">
        <f t="shared" si="131"/>
        <v>0</v>
      </c>
      <c r="N104">
        <f>O104+P96+Q88+R80</f>
        <v>0</v>
      </c>
      <c r="O104">
        <f t="shared" si="132"/>
        <v>0</v>
      </c>
      <c r="P104" s="150">
        <f t="shared" si="133"/>
        <v>0</v>
      </c>
      <c r="Q104" s="150">
        <f t="shared" si="134"/>
        <v>0</v>
      </c>
      <c r="R104" s="150">
        <f t="shared" si="135"/>
        <v>0</v>
      </c>
      <c r="S104">
        <f t="shared" si="136"/>
        <v>0</v>
      </c>
      <c r="T104" s="40" t="str">
        <f t="shared" ref="T104:T108" si="138">IF(D104="","",D104*$D$9)</f>
        <v/>
      </c>
      <c r="U104" t="str">
        <f t="shared" ref="U104:U108" si="139">IF(D104="","",E104)</f>
        <v/>
      </c>
      <c r="V104" t="str">
        <f t="shared" ref="V104:V108" si="140">IF(D104="","",D104*(VLOOKUP(C104,$C$45:$M$58,11,FALSE)))</f>
        <v/>
      </c>
      <c r="W104" s="43" t="str">
        <f t="shared" ref="W104:W108" si="141">IF(T104="","",T104*(VLOOKUP(C104,$C$45:$M$58,11,FALSE)))</f>
        <v/>
      </c>
      <c r="Y104" s="147" t="str">
        <f t="shared" si="32"/>
        <v/>
      </c>
      <c r="Z104" s="147" t="str">
        <f t="shared" si="33"/>
        <v/>
      </c>
      <c r="AA104" s="147" t="str">
        <f t="shared" si="34"/>
        <v/>
      </c>
      <c r="AB104" s="147" t="str">
        <f t="shared" si="35"/>
        <v/>
      </c>
      <c r="AC104" s="147" t="str">
        <f t="shared" si="36"/>
        <v/>
      </c>
      <c r="AD104" s="147" t="str">
        <f t="shared" si="37"/>
        <v/>
      </c>
      <c r="AE104" s="147" t="str">
        <f t="shared" si="38"/>
        <v/>
      </c>
      <c r="AF104" s="147" t="str">
        <f t="shared" si="39"/>
        <v/>
      </c>
      <c r="AG104" s="147" t="str">
        <f t="shared" si="40"/>
        <v/>
      </c>
      <c r="AH104" s="147" t="str">
        <f t="shared" si="41"/>
        <v/>
      </c>
      <c r="AI104" s="147" t="str">
        <f t="shared" si="42"/>
        <v/>
      </c>
      <c r="AJ104" s="147" t="str">
        <f t="shared" si="43"/>
        <v/>
      </c>
      <c r="AK104" s="147" t="str">
        <f t="shared" si="44"/>
        <v/>
      </c>
      <c r="AL104" s="147" t="str">
        <f t="shared" si="45"/>
        <v/>
      </c>
    </row>
    <row r="105" spans="1:38" x14ac:dyDescent="0.3">
      <c r="A105" s="196"/>
      <c r="C105" s="200"/>
      <c r="D105" s="201"/>
      <c r="E105" t="str">
        <f>_xlfn.IFNA(VLOOKUP(C105,'Te gebruiken meststoffen'!$R$3:$AC$10,12,FALSE),"")</f>
        <v/>
      </c>
      <c r="F105" s="52">
        <f t="shared" si="125"/>
        <v>0</v>
      </c>
      <c r="G105" s="52">
        <f t="shared" si="137"/>
        <v>0</v>
      </c>
      <c r="H105" s="52">
        <f t="shared" si="126"/>
        <v>0</v>
      </c>
      <c r="I105" s="52">
        <f t="shared" si="127"/>
        <v>0</v>
      </c>
      <c r="J105" s="52">
        <f t="shared" si="128"/>
        <v>0</v>
      </c>
      <c r="K105" s="52">
        <f t="shared" si="129"/>
        <v>0</v>
      </c>
      <c r="L105" s="52">
        <f t="shared" si="130"/>
        <v>0</v>
      </c>
      <c r="M105" s="53">
        <f t="shared" si="131"/>
        <v>0</v>
      </c>
      <c r="N105">
        <f>O105+P97+Q89+R81</f>
        <v>0</v>
      </c>
      <c r="O105">
        <f t="shared" si="132"/>
        <v>0</v>
      </c>
      <c r="P105" s="150">
        <f t="shared" si="133"/>
        <v>0</v>
      </c>
      <c r="Q105" s="150">
        <f t="shared" si="134"/>
        <v>0</v>
      </c>
      <c r="R105" s="150">
        <f t="shared" si="135"/>
        <v>0</v>
      </c>
      <c r="S105">
        <f t="shared" si="136"/>
        <v>0</v>
      </c>
      <c r="T105" s="40" t="str">
        <f t="shared" si="138"/>
        <v/>
      </c>
      <c r="U105" t="str">
        <f t="shared" si="139"/>
        <v/>
      </c>
      <c r="V105" t="str">
        <f t="shared" si="140"/>
        <v/>
      </c>
      <c r="W105" s="43" t="str">
        <f t="shared" si="141"/>
        <v/>
      </c>
      <c r="Y105" s="147" t="str">
        <f t="shared" si="32"/>
        <v/>
      </c>
      <c r="Z105" s="147" t="str">
        <f t="shared" si="33"/>
        <v/>
      </c>
      <c r="AA105" s="147" t="str">
        <f t="shared" si="34"/>
        <v/>
      </c>
      <c r="AB105" s="147" t="str">
        <f t="shared" si="35"/>
        <v/>
      </c>
      <c r="AC105" s="147" t="str">
        <f t="shared" si="36"/>
        <v/>
      </c>
      <c r="AD105" s="147" t="str">
        <f t="shared" si="37"/>
        <v/>
      </c>
      <c r="AE105" s="147" t="str">
        <f t="shared" si="38"/>
        <v/>
      </c>
      <c r="AF105" s="147" t="str">
        <f t="shared" si="39"/>
        <v/>
      </c>
      <c r="AG105" s="147" t="str">
        <f t="shared" si="40"/>
        <v/>
      </c>
      <c r="AH105" s="147" t="str">
        <f t="shared" si="41"/>
        <v/>
      </c>
      <c r="AI105" s="147" t="str">
        <f t="shared" si="42"/>
        <v/>
      </c>
      <c r="AJ105" s="147" t="str">
        <f t="shared" si="43"/>
        <v/>
      </c>
      <c r="AK105" s="147" t="str">
        <f t="shared" si="44"/>
        <v/>
      </c>
      <c r="AL105" s="147" t="str">
        <f t="shared" si="45"/>
        <v/>
      </c>
    </row>
    <row r="106" spans="1:38" x14ac:dyDescent="0.3">
      <c r="A106" s="196"/>
      <c r="C106" s="200"/>
      <c r="D106" s="201"/>
      <c r="E106" t="str">
        <f>_xlfn.IFNA(VLOOKUP(C106,'Te gebruiken meststoffen'!$R$3:$AC$10,12,FALSE),"")</f>
        <v/>
      </c>
      <c r="F106" s="52">
        <f t="shared" si="125"/>
        <v>0</v>
      </c>
      <c r="G106" s="52">
        <f t="shared" si="137"/>
        <v>0</v>
      </c>
      <c r="H106" s="52">
        <f t="shared" si="126"/>
        <v>0</v>
      </c>
      <c r="I106" s="52">
        <f t="shared" si="127"/>
        <v>0</v>
      </c>
      <c r="J106" s="52">
        <f t="shared" si="128"/>
        <v>0</v>
      </c>
      <c r="K106" s="52">
        <f t="shared" si="129"/>
        <v>0</v>
      </c>
      <c r="L106" s="52">
        <f t="shared" si="130"/>
        <v>0</v>
      </c>
      <c r="M106" s="53">
        <f t="shared" si="131"/>
        <v>0</v>
      </c>
      <c r="N106">
        <f t="shared" ref="N106:N107" si="142">O106+P98+Q90+R82</f>
        <v>0</v>
      </c>
      <c r="O106">
        <f t="shared" si="132"/>
        <v>0</v>
      </c>
      <c r="P106" s="150">
        <f t="shared" si="133"/>
        <v>0</v>
      </c>
      <c r="Q106" s="150">
        <f t="shared" si="134"/>
        <v>0</v>
      </c>
      <c r="R106" s="150">
        <f t="shared" si="135"/>
        <v>0</v>
      </c>
      <c r="S106">
        <f t="shared" si="136"/>
        <v>0</v>
      </c>
      <c r="T106" s="40" t="str">
        <f t="shared" si="138"/>
        <v/>
      </c>
      <c r="U106" t="str">
        <f t="shared" si="139"/>
        <v/>
      </c>
      <c r="V106" t="str">
        <f t="shared" si="140"/>
        <v/>
      </c>
      <c r="W106" s="43" t="str">
        <f t="shared" si="141"/>
        <v/>
      </c>
      <c r="Y106" s="147" t="str">
        <f t="shared" si="32"/>
        <v/>
      </c>
      <c r="Z106" s="147" t="str">
        <f t="shared" si="33"/>
        <v/>
      </c>
      <c r="AA106" s="147" t="str">
        <f t="shared" si="34"/>
        <v/>
      </c>
      <c r="AB106" s="147" t="str">
        <f t="shared" si="35"/>
        <v/>
      </c>
      <c r="AC106" s="147" t="str">
        <f t="shared" si="36"/>
        <v/>
      </c>
      <c r="AD106" s="147" t="str">
        <f t="shared" si="37"/>
        <v/>
      </c>
      <c r="AE106" s="147" t="str">
        <f t="shared" si="38"/>
        <v/>
      </c>
      <c r="AF106" s="147" t="str">
        <f t="shared" si="39"/>
        <v/>
      </c>
      <c r="AG106" s="147" t="str">
        <f t="shared" si="40"/>
        <v/>
      </c>
      <c r="AH106" s="147" t="str">
        <f t="shared" si="41"/>
        <v/>
      </c>
      <c r="AI106" s="147" t="str">
        <f t="shared" si="42"/>
        <v/>
      </c>
      <c r="AJ106" s="147" t="str">
        <f t="shared" si="43"/>
        <v/>
      </c>
      <c r="AK106" s="147" t="str">
        <f t="shared" si="44"/>
        <v/>
      </c>
      <c r="AL106" s="147" t="str">
        <f t="shared" si="45"/>
        <v/>
      </c>
    </row>
    <row r="107" spans="1:38" x14ac:dyDescent="0.3">
      <c r="A107" s="196"/>
      <c r="C107" s="200"/>
      <c r="D107" s="201"/>
      <c r="E107" t="str">
        <f>_xlfn.IFNA(VLOOKUP(C107,'Te gebruiken meststoffen'!$R$3:$AC$10,12,FALSE),"")</f>
        <v/>
      </c>
      <c r="F107" s="52">
        <f t="shared" si="125"/>
        <v>0</v>
      </c>
      <c r="G107" s="52">
        <f t="shared" si="137"/>
        <v>0</v>
      </c>
      <c r="H107" s="52">
        <f t="shared" si="126"/>
        <v>0</v>
      </c>
      <c r="I107" s="52">
        <f t="shared" si="127"/>
        <v>0</v>
      </c>
      <c r="J107" s="52">
        <f t="shared" si="128"/>
        <v>0</v>
      </c>
      <c r="K107" s="52">
        <f t="shared" si="129"/>
        <v>0</v>
      </c>
      <c r="L107" s="52">
        <f t="shared" si="130"/>
        <v>0</v>
      </c>
      <c r="M107" s="53">
        <f t="shared" si="131"/>
        <v>0</v>
      </c>
      <c r="N107">
        <f t="shared" si="142"/>
        <v>0</v>
      </c>
      <c r="O107">
        <f t="shared" si="132"/>
        <v>0</v>
      </c>
      <c r="P107" s="150">
        <f t="shared" si="133"/>
        <v>0</v>
      </c>
      <c r="Q107" s="150">
        <f t="shared" si="134"/>
        <v>0</v>
      </c>
      <c r="R107" s="150">
        <f t="shared" si="135"/>
        <v>0</v>
      </c>
      <c r="S107">
        <f t="shared" si="136"/>
        <v>0</v>
      </c>
      <c r="T107" s="40" t="str">
        <f t="shared" si="138"/>
        <v/>
      </c>
      <c r="U107" t="str">
        <f t="shared" si="139"/>
        <v/>
      </c>
      <c r="V107" t="str">
        <f t="shared" si="140"/>
        <v/>
      </c>
      <c r="W107" s="43" t="str">
        <f t="shared" si="141"/>
        <v/>
      </c>
      <c r="Y107" s="147" t="str">
        <f t="shared" si="32"/>
        <v/>
      </c>
      <c r="Z107" s="147" t="str">
        <f t="shared" si="33"/>
        <v/>
      </c>
      <c r="AA107" s="147" t="str">
        <f t="shared" si="34"/>
        <v/>
      </c>
      <c r="AB107" s="147" t="str">
        <f t="shared" si="35"/>
        <v/>
      </c>
      <c r="AC107" s="147" t="str">
        <f t="shared" si="36"/>
        <v/>
      </c>
      <c r="AD107" s="147" t="str">
        <f t="shared" si="37"/>
        <v/>
      </c>
      <c r="AE107" s="147" t="str">
        <f t="shared" si="38"/>
        <v/>
      </c>
      <c r="AF107" s="147" t="str">
        <f t="shared" si="39"/>
        <v/>
      </c>
      <c r="AG107" s="147" t="str">
        <f t="shared" si="40"/>
        <v/>
      </c>
      <c r="AH107" s="147" t="str">
        <f t="shared" si="41"/>
        <v/>
      </c>
      <c r="AI107" s="147" t="str">
        <f t="shared" si="42"/>
        <v/>
      </c>
      <c r="AJ107" s="147" t="str">
        <f t="shared" si="43"/>
        <v/>
      </c>
      <c r="AK107" s="147" t="str">
        <f t="shared" si="44"/>
        <v/>
      </c>
      <c r="AL107" s="147" t="str">
        <f t="shared" si="45"/>
        <v/>
      </c>
    </row>
    <row r="108" spans="1:38" ht="15" thickBot="1" x14ac:dyDescent="0.35">
      <c r="A108" s="197"/>
      <c r="C108" s="200"/>
      <c r="D108" s="201"/>
      <c r="E108" t="str">
        <f>_xlfn.IFNA(VLOOKUP(C108,'Te gebruiken meststoffen'!$R$3:$AC$10,12,FALSE),"")</f>
        <v/>
      </c>
      <c r="F108" s="52">
        <f t="shared" si="125"/>
        <v>0</v>
      </c>
      <c r="G108" s="52">
        <f t="shared" si="137"/>
        <v>0</v>
      </c>
      <c r="H108" s="52">
        <f t="shared" si="126"/>
        <v>0</v>
      </c>
      <c r="I108" s="52">
        <f t="shared" si="127"/>
        <v>0</v>
      </c>
      <c r="J108" s="52">
        <f t="shared" si="128"/>
        <v>0</v>
      </c>
      <c r="K108" s="52">
        <f t="shared" si="129"/>
        <v>0</v>
      </c>
      <c r="L108" s="52">
        <f t="shared" si="130"/>
        <v>0</v>
      </c>
      <c r="M108" s="53">
        <f t="shared" si="131"/>
        <v>0</v>
      </c>
      <c r="N108">
        <f>O108+P100+Q92+R84</f>
        <v>0</v>
      </c>
      <c r="O108">
        <f t="shared" si="132"/>
        <v>0</v>
      </c>
      <c r="P108" s="150">
        <f t="shared" si="133"/>
        <v>0</v>
      </c>
      <c r="Q108" s="150">
        <f t="shared" si="134"/>
        <v>0</v>
      </c>
      <c r="R108" s="150">
        <f t="shared" si="135"/>
        <v>0</v>
      </c>
      <c r="S108">
        <f t="shared" si="136"/>
        <v>0</v>
      </c>
      <c r="T108" s="134" t="str">
        <f t="shared" si="138"/>
        <v/>
      </c>
      <c r="U108" s="131" t="str">
        <f t="shared" si="139"/>
        <v/>
      </c>
      <c r="V108" s="131" t="str">
        <f t="shared" si="140"/>
        <v/>
      </c>
      <c r="W108" s="135" t="str">
        <f t="shared" si="141"/>
        <v/>
      </c>
      <c r="Y108" s="147" t="str">
        <f t="shared" si="32"/>
        <v/>
      </c>
      <c r="Z108" s="147" t="str">
        <f t="shared" si="33"/>
        <v/>
      </c>
      <c r="AA108" s="147" t="str">
        <f t="shared" si="34"/>
        <v/>
      </c>
      <c r="AB108" s="147" t="str">
        <f t="shared" si="35"/>
        <v/>
      </c>
      <c r="AC108" s="147" t="str">
        <f t="shared" si="36"/>
        <v/>
      </c>
      <c r="AD108" s="147" t="str">
        <f t="shared" si="37"/>
        <v/>
      </c>
      <c r="AE108" s="147" t="str">
        <f t="shared" si="38"/>
        <v/>
      </c>
      <c r="AF108" s="147" t="str">
        <f t="shared" si="39"/>
        <v/>
      </c>
      <c r="AG108" s="147" t="str">
        <f t="shared" si="40"/>
        <v/>
      </c>
      <c r="AH108" s="147" t="str">
        <f t="shared" si="41"/>
        <v/>
      </c>
      <c r="AI108" s="147" t="str">
        <f t="shared" si="42"/>
        <v/>
      </c>
      <c r="AJ108" s="147" t="str">
        <f t="shared" si="43"/>
        <v/>
      </c>
      <c r="AK108" s="147" t="str">
        <f t="shared" si="44"/>
        <v/>
      </c>
      <c r="AL108" s="147" t="str">
        <f t="shared" si="45"/>
        <v/>
      </c>
    </row>
    <row r="109" spans="1:38" ht="15" thickBot="1" x14ac:dyDescent="0.35">
      <c r="C109" s="75"/>
      <c r="D109" s="76"/>
      <c r="E109" s="56" t="s">
        <v>509</v>
      </c>
      <c r="F109" s="56">
        <f t="shared" ref="F109:M109" si="143">SUM(F103:F108)</f>
        <v>0</v>
      </c>
      <c r="G109" s="79">
        <f>SUM(G102:G108)</f>
        <v>0</v>
      </c>
      <c r="H109" s="56">
        <f t="shared" si="143"/>
        <v>0</v>
      </c>
      <c r="I109" s="56">
        <f t="shared" si="143"/>
        <v>0</v>
      </c>
      <c r="J109" s="56">
        <f t="shared" si="143"/>
        <v>0</v>
      </c>
      <c r="K109" s="56">
        <f t="shared" si="143"/>
        <v>0</v>
      </c>
      <c r="L109" s="56">
        <f t="shared" si="143"/>
        <v>0</v>
      </c>
      <c r="M109" s="80">
        <f t="shared" si="143"/>
        <v>0</v>
      </c>
      <c r="N109" s="60">
        <f>SUM(O103:O108,P95:P100,Q87:Q92,R79:R84)</f>
        <v>0</v>
      </c>
      <c r="T109" s="138"/>
      <c r="U109" s="139"/>
      <c r="V109" s="139">
        <f>SUM(V103:V108)</f>
        <v>0</v>
      </c>
      <c r="W109" s="140">
        <f>SUM(W103:W108)</f>
        <v>0</v>
      </c>
      <c r="Y109" s="147">
        <f t="shared" ref="Y109:AL109" si="144">SUM(Y63:Y108)</f>
        <v>0</v>
      </c>
      <c r="Z109" s="147">
        <f t="shared" si="144"/>
        <v>0</v>
      </c>
      <c r="AA109" s="147">
        <f t="shared" si="144"/>
        <v>0</v>
      </c>
      <c r="AB109" s="147">
        <f t="shared" si="144"/>
        <v>0</v>
      </c>
      <c r="AC109" s="147">
        <f t="shared" si="144"/>
        <v>0</v>
      </c>
      <c r="AD109" s="147">
        <f t="shared" si="144"/>
        <v>0</v>
      </c>
      <c r="AE109" s="147">
        <f t="shared" si="144"/>
        <v>0</v>
      </c>
      <c r="AF109" s="147">
        <f t="shared" si="144"/>
        <v>0</v>
      </c>
      <c r="AG109" s="147">
        <f t="shared" si="144"/>
        <v>0</v>
      </c>
      <c r="AH109" s="147">
        <f t="shared" si="144"/>
        <v>0</v>
      </c>
      <c r="AI109" s="147">
        <f t="shared" si="144"/>
        <v>0</v>
      </c>
      <c r="AJ109" s="147">
        <f t="shared" si="144"/>
        <v>0</v>
      </c>
      <c r="AK109" s="147">
        <f t="shared" si="144"/>
        <v>0</v>
      </c>
      <c r="AL109" s="147">
        <f t="shared" si="144"/>
        <v>0</v>
      </c>
    </row>
    <row r="110" spans="1:38" ht="19.8" thickBot="1" x14ac:dyDescent="0.35">
      <c r="E110" s="136"/>
      <c r="F110" s="48" t="s">
        <v>470</v>
      </c>
      <c r="G110" s="48" t="s">
        <v>400</v>
      </c>
      <c r="H110" s="48" t="s">
        <v>414</v>
      </c>
      <c r="I110" s="48" t="s">
        <v>415</v>
      </c>
      <c r="J110" s="48" t="s">
        <v>416</v>
      </c>
      <c r="K110" s="48" t="s">
        <v>417</v>
      </c>
      <c r="L110" s="48" t="s">
        <v>418</v>
      </c>
      <c r="M110" s="57" t="s">
        <v>419</v>
      </c>
      <c r="N110" s="60"/>
      <c r="O110" t="s">
        <v>621</v>
      </c>
      <c r="S110" t="s">
        <v>609</v>
      </c>
      <c r="V110" s="142" t="s">
        <v>614</v>
      </c>
      <c r="W110" s="141" t="s">
        <v>616</v>
      </c>
    </row>
    <row r="111" spans="1:38" ht="15" thickBot="1" x14ac:dyDescent="0.35">
      <c r="E111" s="94" t="s">
        <v>518</v>
      </c>
      <c r="F111" s="145">
        <f>SUM(F69,F77,F85,F93,F101,F109)</f>
        <v>0</v>
      </c>
      <c r="G111" s="50">
        <f>SUM(G69,G77,G85,G93,G101,G109,O111)</f>
        <v>0</v>
      </c>
      <c r="H111" s="50">
        <f t="shared" ref="H111:M111" si="145">SUM(H69,H77,H85,H93,H101,H109)</f>
        <v>0</v>
      </c>
      <c r="I111" s="50">
        <f t="shared" si="145"/>
        <v>0</v>
      </c>
      <c r="J111" s="50">
        <f t="shared" si="145"/>
        <v>0</v>
      </c>
      <c r="K111" s="50">
        <f t="shared" si="145"/>
        <v>0</v>
      </c>
      <c r="L111" s="50">
        <f t="shared" si="145"/>
        <v>0</v>
      </c>
      <c r="M111" s="51">
        <f t="shared" si="145"/>
        <v>0</v>
      </c>
      <c r="O111" s="52">
        <f>SUM(P103:R108,Q95:R100,R87:R92)</f>
        <v>0</v>
      </c>
      <c r="S111">
        <f>SUM(S102,S94,S86,S78,S70,S69)</f>
        <v>0</v>
      </c>
      <c r="U111" s="115" t="s">
        <v>617</v>
      </c>
      <c r="V111" s="75">
        <f>SUM(V109,V101,V93,V85,V77,V69,)</f>
        <v>0</v>
      </c>
      <c r="W111" s="77">
        <f>SUM(W109,W101,W93,W85,W77,W69,)</f>
        <v>0</v>
      </c>
    </row>
    <row r="112" spans="1:38" hidden="1" x14ac:dyDescent="0.3">
      <c r="B112" t="s">
        <v>516</v>
      </c>
      <c r="E112" s="143" t="s">
        <v>520</v>
      </c>
      <c r="F112" s="40"/>
      <c r="G112" t="str">
        <f t="shared" ref="G112:M112" si="146">IF(D35="",D34,D35)</f>
        <v/>
      </c>
      <c r="H112" t="str">
        <f t="shared" si="146"/>
        <v/>
      </c>
      <c r="I112" t="str">
        <f t="shared" si="146"/>
        <v/>
      </c>
      <c r="J112" t="str">
        <f t="shared" si="146"/>
        <v/>
      </c>
      <c r="K112" t="str">
        <f t="shared" si="146"/>
        <v/>
      </c>
      <c r="L112" t="str">
        <f t="shared" si="146"/>
        <v/>
      </c>
      <c r="M112" s="43" t="str">
        <f t="shared" si="146"/>
        <v/>
      </c>
    </row>
    <row r="113" spans="1:19" hidden="1" x14ac:dyDescent="0.3">
      <c r="B113" t="s">
        <v>516</v>
      </c>
      <c r="E113" s="95" t="s">
        <v>519</v>
      </c>
      <c r="F113" s="40"/>
      <c r="G113" s="52" t="str">
        <f t="shared" ref="G113:J113" si="147">IF(G112=0,100,IF(G112="","",100*(G111/G112)))</f>
        <v/>
      </c>
      <c r="H113" s="52" t="str">
        <f t="shared" si="147"/>
        <v/>
      </c>
      <c r="I113" s="52" t="str">
        <f t="shared" si="147"/>
        <v/>
      </c>
      <c r="J113" s="52" t="str">
        <f t="shared" si="147"/>
        <v/>
      </c>
      <c r="K113" s="52" t="str">
        <f>IF(K112=0,100,IF(K112="","",100*(K111/K112)))</f>
        <v/>
      </c>
      <c r="L113" s="52" t="str">
        <f>IF(L112=0,100,IF(L112="","",100*(L111/L112)))</f>
        <v/>
      </c>
      <c r="M113" s="53" t="str">
        <f>IF(M112=0,100,IF(M112="","",100*(M111/M112)))</f>
        <v/>
      </c>
    </row>
    <row r="114" spans="1:19" hidden="1" x14ac:dyDescent="0.3">
      <c r="B114" t="s">
        <v>517</v>
      </c>
      <c r="E114" s="143" t="s">
        <v>529</v>
      </c>
      <c r="F114" s="40"/>
      <c r="G114" s="52">
        <f t="shared" ref="G114:M114" si="148">D31</f>
        <v>0</v>
      </c>
      <c r="H114" s="52">
        <f t="shared" si="148"/>
        <v>0</v>
      </c>
      <c r="I114" s="52">
        <f t="shared" si="148"/>
        <v>0</v>
      </c>
      <c r="J114" s="52">
        <f t="shared" si="148"/>
        <v>0</v>
      </c>
      <c r="K114" s="52">
        <f t="shared" si="148"/>
        <v>0</v>
      </c>
      <c r="L114" s="52">
        <f t="shared" si="148"/>
        <v>0</v>
      </c>
      <c r="M114" s="53">
        <f t="shared" si="148"/>
        <v>0</v>
      </c>
    </row>
    <row r="115" spans="1:19" hidden="1" x14ac:dyDescent="0.3">
      <c r="B115" t="s">
        <v>517</v>
      </c>
      <c r="E115" s="95" t="s">
        <v>519</v>
      </c>
      <c r="F115" s="40"/>
      <c r="G115" s="52">
        <f t="shared" ref="G115:J115" si="149">IF(G114=0,100,IF(G114="","",100*(G111/G114)))</f>
        <v>100</v>
      </c>
      <c r="H115" s="52">
        <f t="shared" si="149"/>
        <v>100</v>
      </c>
      <c r="I115" s="52">
        <f t="shared" si="149"/>
        <v>100</v>
      </c>
      <c r="J115" s="52">
        <f t="shared" si="149"/>
        <v>100</v>
      </c>
      <c r="K115" s="52">
        <f>IF(K114=0,100,IF(K114="","",100*(K111/K114)))</f>
        <v>100</v>
      </c>
      <c r="L115" s="52">
        <f t="shared" ref="L115:M115" si="150">IF(L114=0,100,IF(L114="","",100*(L111/L114)))</f>
        <v>100</v>
      </c>
      <c r="M115" s="53">
        <f t="shared" si="150"/>
        <v>100</v>
      </c>
    </row>
    <row r="116" spans="1:19" hidden="1" x14ac:dyDescent="0.3">
      <c r="E116" s="95"/>
      <c r="F116" s="40"/>
      <c r="G116" s="83">
        <v>100</v>
      </c>
      <c r="H116" s="83">
        <v>100</v>
      </c>
      <c r="I116" s="83">
        <v>100</v>
      </c>
      <c r="J116" s="83">
        <v>100</v>
      </c>
      <c r="K116" s="83">
        <v>100</v>
      </c>
      <c r="L116" s="83">
        <v>100</v>
      </c>
      <c r="M116" s="137">
        <v>100</v>
      </c>
    </row>
    <row r="117" spans="1:19" x14ac:dyDescent="0.3">
      <c r="B117" t="str" cm="1">
        <f t="array" ref="B117:M118">_xlfn._xlws.FILTER(B112:M115,B112:B115=C20)</f>
        <v>Per jaar</v>
      </c>
      <c r="C117">
        <v>0</v>
      </c>
      <c r="D117">
        <v>0</v>
      </c>
      <c r="E117" s="143" t="str">
        <v>ADVIES</v>
      </c>
      <c r="F117" s="40">
        <v>0</v>
      </c>
      <c r="G117" s="52" t="str">
        <v/>
      </c>
      <c r="H117" s="52" t="str">
        <v/>
      </c>
      <c r="I117" s="52" t="str">
        <v/>
      </c>
      <c r="J117" s="52" t="str">
        <v/>
      </c>
      <c r="K117" s="52" t="str">
        <v/>
      </c>
      <c r="L117" s="52" t="str">
        <v/>
      </c>
      <c r="M117" s="53" t="str">
        <v/>
      </c>
    </row>
    <row r="118" spans="1:19" ht="13.95" customHeight="1" thickBot="1" x14ac:dyDescent="0.35">
      <c r="B118" t="str">
        <v>Per jaar</v>
      </c>
      <c r="C118">
        <v>0</v>
      </c>
      <c r="D118">
        <v>0</v>
      </c>
      <c r="E118" s="96" t="str">
        <v>Percentage van advies bemest</v>
      </c>
      <c r="F118" s="37">
        <v>0</v>
      </c>
      <c r="G118" s="54" t="str">
        <v/>
      </c>
      <c r="H118" s="54" t="str">
        <v/>
      </c>
      <c r="I118" s="54" t="str">
        <v/>
      </c>
      <c r="J118" s="54" t="str">
        <v/>
      </c>
      <c r="K118" s="54" t="str">
        <v/>
      </c>
      <c r="L118" s="54" t="str">
        <v/>
      </c>
      <c r="M118" s="55" t="str">
        <v/>
      </c>
    </row>
    <row r="119" spans="1:19" hidden="1" x14ac:dyDescent="0.3">
      <c r="G119" s="127">
        <v>100</v>
      </c>
      <c r="H119" s="127">
        <v>100</v>
      </c>
      <c r="I119" s="127">
        <v>100</v>
      </c>
      <c r="J119" s="127">
        <v>100</v>
      </c>
      <c r="K119" s="127">
        <v>100</v>
      </c>
      <c r="L119" s="127">
        <v>100</v>
      </c>
      <c r="M119" s="127">
        <v>100</v>
      </c>
    </row>
    <row r="120" spans="1:19" x14ac:dyDescent="0.3">
      <c r="E120" s="42" t="str">
        <f>IF(_xlfn.CONCAT(E121:M124)="","","Waarschuwingen:")</f>
        <v/>
      </c>
      <c r="G120" s="151">
        <v>100</v>
      </c>
      <c r="H120" s="151">
        <v>100</v>
      </c>
      <c r="I120" s="151">
        <v>100</v>
      </c>
      <c r="J120" s="151">
        <v>100</v>
      </c>
      <c r="K120" s="151">
        <v>100</v>
      </c>
      <c r="L120" s="151">
        <v>100</v>
      </c>
      <c r="M120" s="151">
        <v>100</v>
      </c>
      <c r="N120" s="52">
        <v>100</v>
      </c>
      <c r="O120" s="52">
        <v>100</v>
      </c>
      <c r="P120" s="52">
        <v>100</v>
      </c>
      <c r="Q120" s="52">
        <v>100</v>
      </c>
      <c r="R120" s="52">
        <v>100</v>
      </c>
      <c r="S120" s="52">
        <v>100</v>
      </c>
    </row>
    <row r="121" spans="1:19" x14ac:dyDescent="0.3">
      <c r="E121" s="219" t="str">
        <f>IF(O111&gt;0,_xlfn.CONCAT("Er komt vermoedelijk nog ",O111," kg N vrij na het nemen van de laatste snede. Zet de meststof met langere vrijgave best wat eerder in voor een betere N-benutting en het verlagen van uitspoeling."),"")</f>
        <v/>
      </c>
      <c r="F121" s="219"/>
      <c r="G121" s="219"/>
      <c r="H121" s="219"/>
      <c r="I121" s="219"/>
      <c r="J121" s="219"/>
      <c r="K121" s="219"/>
      <c r="L121" s="219"/>
      <c r="M121" s="219"/>
      <c r="N121" s="52"/>
      <c r="O121" s="52"/>
      <c r="P121" s="52"/>
      <c r="Q121" s="52"/>
      <c r="R121" s="52"/>
      <c r="S121" s="52"/>
    </row>
    <row r="122" spans="1:19" ht="14.4" customHeight="1" x14ac:dyDescent="0.3">
      <c r="E122" s="212" t="str">
        <f>IF(F111&gt;C16,"Let op dat u niet teveel dierlijke stikstof op het grasland brengt! De norm is 170, maar op perceelsniveau kan tot maximaal 150% (255 kg Ndier) worden afgeweken, indien er op bedrijfsniveau wel aan de 170 wordt voldaan.","")</f>
        <v/>
      </c>
      <c r="F122" s="212"/>
      <c r="G122" s="212"/>
      <c r="H122" s="212"/>
      <c r="I122" s="212"/>
      <c r="J122" s="212"/>
      <c r="K122" s="212"/>
      <c r="L122" s="212"/>
      <c r="M122" s="212"/>
      <c r="N122" s="52"/>
      <c r="O122" s="52"/>
      <c r="P122" s="52"/>
      <c r="Q122" s="52"/>
      <c r="R122" s="52"/>
      <c r="S122" s="52"/>
    </row>
    <row r="123" spans="1:19" ht="15" customHeight="1" x14ac:dyDescent="0.3">
      <c r="E123" s="212" t="str">
        <f>IF(G111&gt;D16,_xlfn.CONCAT("Let op dat u niet teveel werkzame stikstof op het grasland brengt! De norm is ",D16,", maar op perceelsniveau kan tot maximaal 125% (",D16*1.25," kg Nwerkzaam) worden afgeweken, indien er op bedrijfsniveau wel aan de normen wordt voldaan."),"")</f>
        <v/>
      </c>
      <c r="F123" s="212"/>
      <c r="G123" s="212"/>
      <c r="H123" s="212"/>
      <c r="I123" s="212"/>
      <c r="J123" s="212"/>
      <c r="K123" s="212"/>
      <c r="L123" s="212"/>
      <c r="M123" s="212"/>
      <c r="N123" s="52"/>
      <c r="O123" s="52"/>
      <c r="P123" s="52"/>
      <c r="Q123" s="52"/>
      <c r="R123" s="52"/>
      <c r="S123" s="52"/>
    </row>
    <row r="124" spans="1:19" ht="16.8" customHeight="1" x14ac:dyDescent="0.3">
      <c r="E124" s="212" t="str">
        <f>IF(H111&gt;E16,_xlfn.CONCAT("Pas op u overschrijdt de fosfaatnorm van ",E16," kg ",E15," voor dit perceel."),"")</f>
        <v/>
      </c>
      <c r="F124" s="212"/>
      <c r="G124" s="212"/>
      <c r="H124" s="212"/>
      <c r="I124" s="212"/>
      <c r="J124" s="212"/>
      <c r="K124" s="212"/>
      <c r="L124" s="212"/>
      <c r="M124" s="212"/>
      <c r="N124" s="52"/>
      <c r="O124" s="52"/>
      <c r="P124" s="52"/>
      <c r="Q124" s="52"/>
      <c r="R124" s="52"/>
      <c r="S124" s="52"/>
    </row>
    <row r="125" spans="1:19" x14ac:dyDescent="0.3">
      <c r="A125" s="52"/>
      <c r="E125" s="4" t="s">
        <v>521</v>
      </c>
    </row>
    <row r="126" spans="1:19" x14ac:dyDescent="0.3">
      <c r="E126" t="s">
        <v>465</v>
      </c>
      <c r="G126" s="52" t="e">
        <f t="shared" ref="G126:M126" si="151">100*(G69/G111)</f>
        <v>#DIV/0!</v>
      </c>
      <c r="H126" s="52" t="e">
        <f t="shared" si="151"/>
        <v>#DIV/0!</v>
      </c>
      <c r="I126" s="52" t="e">
        <f t="shared" si="151"/>
        <v>#DIV/0!</v>
      </c>
      <c r="J126" s="52" t="e">
        <f t="shared" si="151"/>
        <v>#DIV/0!</v>
      </c>
      <c r="K126" s="52" t="e">
        <f t="shared" si="151"/>
        <v>#DIV/0!</v>
      </c>
      <c r="L126" s="52" t="e">
        <f t="shared" si="151"/>
        <v>#DIV/0!</v>
      </c>
      <c r="M126" s="52" t="e">
        <f t="shared" si="151"/>
        <v>#DIV/0!</v>
      </c>
    </row>
    <row r="127" spans="1:19" x14ac:dyDescent="0.3">
      <c r="E127" t="s">
        <v>499</v>
      </c>
      <c r="G127" s="52" t="e">
        <f t="shared" ref="G127:M127" si="152">100*(G77/G111)</f>
        <v>#DIV/0!</v>
      </c>
      <c r="H127" s="52" t="e">
        <f t="shared" si="152"/>
        <v>#DIV/0!</v>
      </c>
      <c r="I127" s="52" t="e">
        <f t="shared" si="152"/>
        <v>#DIV/0!</v>
      </c>
      <c r="J127" s="52" t="e">
        <f t="shared" si="152"/>
        <v>#DIV/0!</v>
      </c>
      <c r="K127" s="52" t="e">
        <f t="shared" si="152"/>
        <v>#DIV/0!</v>
      </c>
      <c r="L127" s="52" t="e">
        <f t="shared" si="152"/>
        <v>#DIV/0!</v>
      </c>
      <c r="M127" s="52" t="e">
        <f t="shared" si="152"/>
        <v>#DIV/0!</v>
      </c>
    </row>
    <row r="128" spans="1:19" x14ac:dyDescent="0.3">
      <c r="E128" t="s">
        <v>500</v>
      </c>
      <c r="G128" s="52" t="e">
        <f t="shared" ref="G128:M128" si="153">100*(G85/G111)</f>
        <v>#DIV/0!</v>
      </c>
      <c r="H128" s="52" t="e">
        <f t="shared" si="153"/>
        <v>#DIV/0!</v>
      </c>
      <c r="I128" s="52" t="e">
        <f t="shared" si="153"/>
        <v>#DIV/0!</v>
      </c>
      <c r="J128" s="52" t="e">
        <f t="shared" si="153"/>
        <v>#DIV/0!</v>
      </c>
      <c r="K128" s="52" t="e">
        <f t="shared" si="153"/>
        <v>#DIV/0!</v>
      </c>
      <c r="L128" s="52" t="e">
        <f t="shared" si="153"/>
        <v>#DIV/0!</v>
      </c>
      <c r="M128" s="52" t="e">
        <f t="shared" si="153"/>
        <v>#DIV/0!</v>
      </c>
    </row>
    <row r="129" spans="3:13" x14ac:dyDescent="0.3">
      <c r="E129" t="s">
        <v>501</v>
      </c>
      <c r="G129" s="52" t="e">
        <f t="shared" ref="G129:M129" si="154">100*(G93/G111)</f>
        <v>#DIV/0!</v>
      </c>
      <c r="H129" s="52" t="e">
        <f t="shared" si="154"/>
        <v>#DIV/0!</v>
      </c>
      <c r="I129" s="52" t="e">
        <f t="shared" si="154"/>
        <v>#DIV/0!</v>
      </c>
      <c r="J129" s="52" t="e">
        <f t="shared" si="154"/>
        <v>#DIV/0!</v>
      </c>
      <c r="K129" s="52" t="e">
        <f t="shared" si="154"/>
        <v>#DIV/0!</v>
      </c>
      <c r="L129" s="52" t="e">
        <f t="shared" si="154"/>
        <v>#DIV/0!</v>
      </c>
      <c r="M129" s="52" t="e">
        <f t="shared" si="154"/>
        <v>#DIV/0!</v>
      </c>
    </row>
    <row r="130" spans="3:13" x14ac:dyDescent="0.3">
      <c r="E130" t="s">
        <v>502</v>
      </c>
      <c r="G130" s="52" t="e">
        <f t="shared" ref="G130:M130" si="155">100*(G101/G111)</f>
        <v>#DIV/0!</v>
      </c>
      <c r="H130" s="52" t="e">
        <f t="shared" si="155"/>
        <v>#DIV/0!</v>
      </c>
      <c r="I130" s="52" t="e">
        <f t="shared" si="155"/>
        <v>#DIV/0!</v>
      </c>
      <c r="J130" s="52" t="e">
        <f t="shared" si="155"/>
        <v>#DIV/0!</v>
      </c>
      <c r="K130" s="52" t="e">
        <f t="shared" si="155"/>
        <v>#DIV/0!</v>
      </c>
      <c r="L130" s="52" t="e">
        <f t="shared" si="155"/>
        <v>#DIV/0!</v>
      </c>
      <c r="M130" s="52" t="e">
        <f t="shared" si="155"/>
        <v>#DIV/0!</v>
      </c>
    </row>
    <row r="131" spans="3:13" x14ac:dyDescent="0.3">
      <c r="E131" t="s">
        <v>503</v>
      </c>
      <c r="G131" s="52" t="e">
        <f>100*(G109/G111)</f>
        <v>#DIV/0!</v>
      </c>
      <c r="H131" s="52" t="e">
        <f t="shared" ref="H131:M131" si="156">100*(H109/H111)</f>
        <v>#DIV/0!</v>
      </c>
      <c r="I131" s="52" t="e">
        <f t="shared" si="156"/>
        <v>#DIV/0!</v>
      </c>
      <c r="J131" s="52" t="e">
        <f t="shared" si="156"/>
        <v>#DIV/0!</v>
      </c>
      <c r="K131" s="52" t="e">
        <f t="shared" si="156"/>
        <v>#DIV/0!</v>
      </c>
      <c r="L131" s="52" t="e">
        <f t="shared" si="156"/>
        <v>#DIV/0!</v>
      </c>
      <c r="M131" s="52" t="e">
        <f t="shared" si="156"/>
        <v>#DIV/0!</v>
      </c>
    </row>
    <row r="132" spans="3:13" x14ac:dyDescent="0.3">
      <c r="G132" s="52"/>
      <c r="H132" s="52"/>
      <c r="I132" s="52"/>
      <c r="J132" s="52"/>
      <c r="K132" s="52"/>
      <c r="L132" s="52"/>
      <c r="M132" s="52"/>
    </row>
    <row r="133" spans="3:13" x14ac:dyDescent="0.3">
      <c r="E133" s="4" t="s">
        <v>519</v>
      </c>
      <c r="G133" s="52"/>
      <c r="H133" s="52"/>
      <c r="I133" s="52"/>
      <c r="J133" s="52"/>
      <c r="K133" s="52"/>
      <c r="L133" s="52"/>
      <c r="M133" s="52"/>
    </row>
    <row r="134" spans="3:13" x14ac:dyDescent="0.3">
      <c r="E134" t="s">
        <v>465</v>
      </c>
      <c r="G134" s="52" t="str">
        <f t="shared" ref="G134:M134" si="157">IFERROR(100*(G69/D35),"")</f>
        <v/>
      </c>
      <c r="H134" s="52" t="str">
        <f t="shared" si="157"/>
        <v/>
      </c>
      <c r="I134" s="52" t="str">
        <f t="shared" si="157"/>
        <v/>
      </c>
      <c r="J134" s="52" t="str">
        <f t="shared" si="157"/>
        <v/>
      </c>
      <c r="K134" s="52" t="str">
        <f t="shared" si="157"/>
        <v/>
      </c>
      <c r="L134" s="52" t="str">
        <f t="shared" si="157"/>
        <v/>
      </c>
      <c r="M134" s="52" t="str">
        <f t="shared" si="157"/>
        <v/>
      </c>
    </row>
    <row r="135" spans="3:13" x14ac:dyDescent="0.3">
      <c r="E135" t="s">
        <v>499</v>
      </c>
      <c r="G135" s="52" t="str">
        <f t="shared" ref="G135:M135" si="158">IFERROR(100*(G77/D36),"")</f>
        <v/>
      </c>
      <c r="H135" s="52" t="str">
        <f t="shared" si="158"/>
        <v/>
      </c>
      <c r="I135" s="52" t="str">
        <f t="shared" si="158"/>
        <v/>
      </c>
      <c r="J135" s="52" t="str">
        <f t="shared" si="158"/>
        <v/>
      </c>
      <c r="K135" s="52" t="str">
        <f t="shared" si="158"/>
        <v/>
      </c>
      <c r="L135" s="52" t="str">
        <f t="shared" si="158"/>
        <v/>
      </c>
      <c r="M135" s="52" t="str">
        <f t="shared" si="158"/>
        <v/>
      </c>
    </row>
    <row r="136" spans="3:13" x14ac:dyDescent="0.3">
      <c r="E136" t="s">
        <v>531</v>
      </c>
      <c r="G136" s="152" t="str">
        <f t="shared" ref="G136:M136" si="159">IFERROR(100*((G69+G77)/(D35+D36)),"")</f>
        <v/>
      </c>
      <c r="H136" s="52" t="str">
        <f t="shared" si="159"/>
        <v/>
      </c>
      <c r="I136" s="52" t="str">
        <f t="shared" si="159"/>
        <v/>
      </c>
      <c r="J136" s="52" t="str">
        <f t="shared" si="159"/>
        <v/>
      </c>
      <c r="K136" s="52" t="str">
        <f t="shared" si="159"/>
        <v/>
      </c>
      <c r="L136" s="52" t="str">
        <f t="shared" si="159"/>
        <v/>
      </c>
      <c r="M136" s="52" t="str">
        <f t="shared" si="159"/>
        <v/>
      </c>
    </row>
    <row r="137" spans="3:13" x14ac:dyDescent="0.3">
      <c r="E137" t="s">
        <v>500</v>
      </c>
      <c r="G137" s="52" t="str">
        <f t="shared" ref="G137:M137" si="160">IFERROR(100*(G85/D37),"")</f>
        <v/>
      </c>
      <c r="H137" s="52" t="str">
        <f t="shared" si="160"/>
        <v/>
      </c>
      <c r="I137" s="52" t="str">
        <f t="shared" si="160"/>
        <v/>
      </c>
      <c r="J137" s="52" t="str">
        <f t="shared" si="160"/>
        <v/>
      </c>
      <c r="K137" s="52" t="str">
        <f t="shared" si="160"/>
        <v/>
      </c>
      <c r="L137" s="52" t="str">
        <f t="shared" si="160"/>
        <v/>
      </c>
      <c r="M137" s="52" t="str">
        <f t="shared" si="160"/>
        <v/>
      </c>
    </row>
    <row r="138" spans="3:13" x14ac:dyDescent="0.3">
      <c r="E138" t="s">
        <v>501</v>
      </c>
      <c r="G138" s="52" t="str">
        <f t="shared" ref="G138:M138" si="161">IFERROR(100*(G93/D38),"")</f>
        <v/>
      </c>
      <c r="H138" s="52" t="str">
        <f t="shared" si="161"/>
        <v/>
      </c>
      <c r="I138" s="52" t="str">
        <f t="shared" si="161"/>
        <v/>
      </c>
      <c r="J138" s="52" t="str">
        <f t="shared" si="161"/>
        <v/>
      </c>
      <c r="K138" s="52" t="str">
        <f t="shared" si="161"/>
        <v/>
      </c>
      <c r="L138" s="52" t="str">
        <f t="shared" si="161"/>
        <v/>
      </c>
      <c r="M138" s="52" t="str">
        <f t="shared" si="161"/>
        <v/>
      </c>
    </row>
    <row r="139" spans="3:13" x14ac:dyDescent="0.3">
      <c r="E139" t="s">
        <v>502</v>
      </c>
      <c r="G139" s="52" t="str">
        <f t="shared" ref="G139:M139" si="162">IFERROR(100*(G101/D39),"")</f>
        <v/>
      </c>
      <c r="H139" s="52" t="str">
        <f t="shared" si="162"/>
        <v/>
      </c>
      <c r="I139" s="52" t="str">
        <f t="shared" si="162"/>
        <v/>
      </c>
      <c r="J139" s="52" t="str">
        <f t="shared" si="162"/>
        <v/>
      </c>
      <c r="K139" s="52" t="str">
        <f t="shared" si="162"/>
        <v/>
      </c>
      <c r="L139" s="52" t="str">
        <f t="shared" si="162"/>
        <v/>
      </c>
      <c r="M139" s="52" t="str">
        <f t="shared" si="162"/>
        <v/>
      </c>
    </row>
    <row r="140" spans="3:13" x14ac:dyDescent="0.3">
      <c r="E140" t="s">
        <v>503</v>
      </c>
      <c r="G140" s="52" t="str">
        <f t="shared" ref="G140:M140" si="163">IFERROR(100*(G109/D40),"")</f>
        <v/>
      </c>
      <c r="H140" s="52" t="str">
        <f t="shared" si="163"/>
        <v/>
      </c>
      <c r="I140" s="52" t="str">
        <f t="shared" si="163"/>
        <v/>
      </c>
      <c r="J140" s="52" t="str">
        <f t="shared" si="163"/>
        <v/>
      </c>
      <c r="K140" s="52" t="str">
        <f t="shared" si="163"/>
        <v/>
      </c>
      <c r="L140" s="52" t="str">
        <f t="shared" si="163"/>
        <v/>
      </c>
      <c r="M140" s="52" t="str">
        <f t="shared" si="163"/>
        <v/>
      </c>
    </row>
    <row r="142" spans="3:13" ht="18" x14ac:dyDescent="0.35">
      <c r="C142" s="29" t="s">
        <v>633</v>
      </c>
    </row>
    <row r="144" spans="3:13" ht="15.6" x14ac:dyDescent="0.3">
      <c r="C144" s="33"/>
      <c r="D144" s="41" t="s">
        <v>600</v>
      </c>
      <c r="E144" s="41" t="s">
        <v>599</v>
      </c>
      <c r="F144" s="41" t="s">
        <v>604</v>
      </c>
      <c r="G144" s="4"/>
      <c r="H144" s="4"/>
    </row>
    <row r="145" spans="3:6" x14ac:dyDescent="0.3">
      <c r="C145" s="126" t="s">
        <v>601</v>
      </c>
      <c r="D145" s="204"/>
      <c r="E145" s="204"/>
      <c r="F145" s="86">
        <f>D145*E145/(1000*6.25)</f>
        <v>0</v>
      </c>
    </row>
    <row r="146" spans="3:6" x14ac:dyDescent="0.3">
      <c r="C146" s="126" t="s">
        <v>512</v>
      </c>
      <c r="D146" s="154"/>
      <c r="E146" s="154"/>
      <c r="F146" s="86">
        <f>D146*E146/(1000*6.25)</f>
        <v>0</v>
      </c>
    </row>
    <row r="147" spans="3:6" x14ac:dyDescent="0.3">
      <c r="C147" s="126" t="s">
        <v>513</v>
      </c>
      <c r="D147" s="205"/>
      <c r="E147" s="205"/>
      <c r="F147" s="86">
        <f>D147*E147/(1000*6.25)</f>
        <v>0</v>
      </c>
    </row>
    <row r="148" spans="3:6" x14ac:dyDescent="0.3">
      <c r="C148" s="126" t="s">
        <v>514</v>
      </c>
      <c r="D148" s="205"/>
      <c r="E148" s="205"/>
      <c r="F148" s="86">
        <f>D148*E148/(1000*6.25)</f>
        <v>0</v>
      </c>
    </row>
    <row r="149" spans="3:6" x14ac:dyDescent="0.3">
      <c r="C149" s="126" t="s">
        <v>602</v>
      </c>
      <c r="D149" s="205"/>
      <c r="E149" s="205"/>
      <c r="F149" s="86">
        <f t="shared" ref="F149:F150" si="164">D149*E149/(1000*6.25)</f>
        <v>0</v>
      </c>
    </row>
    <row r="150" spans="3:6" x14ac:dyDescent="0.3">
      <c r="C150" s="126" t="s">
        <v>603</v>
      </c>
      <c r="D150" s="205"/>
      <c r="E150" s="205"/>
      <c r="F150" s="86">
        <f t="shared" si="164"/>
        <v>0</v>
      </c>
    </row>
    <row r="151" spans="3:6" ht="15.6" x14ac:dyDescent="0.3">
      <c r="D151" s="41" t="s">
        <v>606</v>
      </c>
      <c r="E151" s="159" t="str">
        <f>IF(D10=6,(SUM(F145:F150)/G111)*100,IF(D10=5,(SUM(F145:F149)/G111)*100,IF(D10=4,(SUM(F145:F148)/G111)*100,IF(D10=3,(SUM(F145:F147)/G111)*100,IF(D10=2,(SUM(F145:F146)/G111)*100,IF(D10=1,(F145/G111)*100,"Error"))))))</f>
        <v>Error</v>
      </c>
      <c r="F151" s="160" t="s">
        <v>610</v>
      </c>
    </row>
    <row r="152" spans="3:6" ht="15.6" x14ac:dyDescent="0.3">
      <c r="D152" s="41" t="s">
        <v>607</v>
      </c>
      <c r="E152" s="159" t="str">
        <f>IF(D10=6,(SUM(F145:F150)/S111)*100,IF(D10=5,(SUM(F145:F149)/S111)*100,IF(D10=4,(SUM(F145:F148)/S111)*100,IF(D10=3,(SUM(F145:F147)/S111)*100,IF(D10=2,(SUM(F145:F146)/S111)*100,IF(D10=1,(F145/S111)*100,"Error"))))))</f>
        <v>Error</v>
      </c>
      <c r="F152" s="160" t="s">
        <v>610</v>
      </c>
    </row>
  </sheetData>
  <sheetProtection algorithmName="SHA-512" hashValue="wDbeUUE0ezEdS47XjcXljK0lQiFb9f0xJEXlAeOVOV9tAgRYYCGUthzV+56k1HTWwpPl6jLxbcfC+Ih9flT2Ng==" saltValue="Z11qM+xuuK6u4Yh8y8L20w==" spinCount="100000" sheet="1" objects="1" scenarios="1" selectLockedCells="1"/>
  <mergeCells count="8">
    <mergeCell ref="E123:M123"/>
    <mergeCell ref="E124:M124"/>
    <mergeCell ref="N2:O2"/>
    <mergeCell ref="P2:R2"/>
    <mergeCell ref="U33:Z33"/>
    <mergeCell ref="N43:Q43"/>
    <mergeCell ref="E121:M121"/>
    <mergeCell ref="E122:M122"/>
  </mergeCells>
  <conditionalFormatting sqref="A95:A100">
    <cfRule type="expression" dxfId="87" priority="13">
      <formula>$D$10&lt;5</formula>
    </cfRule>
  </conditionalFormatting>
  <conditionalFormatting sqref="A103:A108">
    <cfRule type="expression" dxfId="86" priority="14">
      <formula>$D$10&lt;6</formula>
    </cfRule>
  </conditionalFormatting>
  <conditionalFormatting sqref="A71:D76">
    <cfRule type="expression" dxfId="85" priority="10">
      <formula>$D$10&lt;2</formula>
    </cfRule>
  </conditionalFormatting>
  <conditionalFormatting sqref="A79:D84">
    <cfRule type="expression" dxfId="84" priority="11">
      <formula>$D$10&lt;3</formula>
    </cfRule>
  </conditionalFormatting>
  <conditionalFormatting sqref="A87:D92">
    <cfRule type="expression" dxfId="83" priority="12">
      <formula>$D$10&lt;4</formula>
    </cfRule>
  </conditionalFormatting>
  <conditionalFormatting sqref="C34:C41">
    <cfRule type="notContainsBlanks" dxfId="82" priority="88">
      <formula>LEN(TRIM(C34))&gt;0</formula>
    </cfRule>
  </conditionalFormatting>
  <conditionalFormatting sqref="C11:D11">
    <cfRule type="expression" dxfId="81" priority="77">
      <formula>$D$5="Maaien"</formula>
    </cfRule>
  </conditionalFormatting>
  <conditionalFormatting sqref="C95:D100">
    <cfRule type="expression" dxfId="80" priority="15">
      <formula>$D$10&lt;5</formula>
    </cfRule>
  </conditionalFormatting>
  <conditionalFormatting sqref="C103:D108">
    <cfRule type="expression" dxfId="79" priority="16">
      <formula>$D$10&lt;6</formula>
    </cfRule>
  </conditionalFormatting>
  <conditionalFormatting sqref="C117:F118">
    <cfRule type="cellIs" dxfId="78" priority="84" operator="equal">
      <formula>0</formula>
    </cfRule>
  </conditionalFormatting>
  <conditionalFormatting sqref="C145:F145">
    <cfRule type="expression" dxfId="77" priority="17">
      <formula>$D$10=1</formula>
    </cfRule>
  </conditionalFormatting>
  <conditionalFormatting sqref="C146:F146">
    <cfRule type="expression" dxfId="76" priority="18">
      <formula>$D$10&lt;2</formula>
    </cfRule>
    <cfRule type="expression" dxfId="75" priority="19">
      <formula>$D$10=2</formula>
    </cfRule>
  </conditionalFormatting>
  <conditionalFormatting sqref="C147:F147">
    <cfRule type="expression" dxfId="74" priority="20">
      <formula>$D$10&lt;3</formula>
    </cfRule>
    <cfRule type="expression" dxfId="73" priority="21">
      <formula>$D$10=3</formula>
    </cfRule>
  </conditionalFormatting>
  <conditionalFormatting sqref="C148:F148">
    <cfRule type="expression" dxfId="72" priority="22">
      <formula>$D$10&lt;4</formula>
    </cfRule>
    <cfRule type="expression" dxfId="71" priority="23">
      <formula>$D$10=4</formula>
    </cfRule>
  </conditionalFormatting>
  <conditionalFormatting sqref="C149:F149">
    <cfRule type="expression" dxfId="70" priority="25">
      <formula>$D$10=5</formula>
    </cfRule>
    <cfRule type="expression" dxfId="69" priority="24">
      <formula>$D$10&lt;5</formula>
    </cfRule>
  </conditionalFormatting>
  <conditionalFormatting sqref="C150:F150">
    <cfRule type="expression" dxfId="68" priority="26">
      <formula>$D$10&lt;6</formula>
    </cfRule>
  </conditionalFormatting>
  <conditionalFormatting sqref="C53:L53">
    <cfRule type="expression" dxfId="67" priority="51">
      <formula>$D$53="kg"</formula>
    </cfRule>
    <cfRule type="expression" dxfId="66" priority="44">
      <formula>$D$5="Maaien"</formula>
    </cfRule>
  </conditionalFormatting>
  <conditionalFormatting sqref="C53:L58 N53:Q58">
    <cfRule type="expression" dxfId="65" priority="45">
      <formula>$D$5="Maaien"</formula>
    </cfRule>
  </conditionalFormatting>
  <conditionalFormatting sqref="C54:L54">
    <cfRule type="expression" dxfId="64" priority="50">
      <formula>$D$54="kg"</formula>
    </cfRule>
  </conditionalFormatting>
  <conditionalFormatting sqref="C55:L55">
    <cfRule type="expression" dxfId="63" priority="49">
      <formula>$D$55="kg"</formula>
    </cfRule>
  </conditionalFormatting>
  <conditionalFormatting sqref="C56:L56">
    <cfRule type="expression" dxfId="62" priority="48">
      <formula>$D$56="kg"</formula>
    </cfRule>
  </conditionalFormatting>
  <conditionalFormatting sqref="C57:M57">
    <cfRule type="expression" dxfId="61" priority="47">
      <formula>$D$57="kg"</formula>
    </cfRule>
  </conditionalFormatting>
  <conditionalFormatting sqref="C58:M58">
    <cfRule type="expression" dxfId="60" priority="46">
      <formula>$D$58="kg"</formula>
    </cfRule>
  </conditionalFormatting>
  <conditionalFormatting sqref="D151:F151">
    <cfRule type="expression" dxfId="59" priority="9">
      <formula>$D$10&gt;0</formula>
    </cfRule>
  </conditionalFormatting>
  <conditionalFormatting sqref="D36:J36">
    <cfRule type="expression" dxfId="58" priority="52">
      <formula>$B$36=""</formula>
    </cfRule>
    <cfRule type="expression" dxfId="57" priority="61">
      <formula>$B$36="Per snede"</formula>
    </cfRule>
  </conditionalFormatting>
  <conditionalFormatting sqref="D37:J37">
    <cfRule type="expression" dxfId="56" priority="53">
      <formula>$B$37=""</formula>
    </cfRule>
    <cfRule type="expression" dxfId="55" priority="60">
      <formula>$B$37="Per snede"</formula>
    </cfRule>
  </conditionalFormatting>
  <conditionalFormatting sqref="D38:J38">
    <cfRule type="expression" dxfId="54" priority="59">
      <formula>$B$38="Per snede"</formula>
    </cfRule>
    <cfRule type="expression" dxfId="53" priority="54">
      <formula>$B$38=""</formula>
    </cfRule>
  </conditionalFormatting>
  <conditionalFormatting sqref="D39:J39">
    <cfRule type="expression" dxfId="52" priority="55">
      <formula>$B$39=""</formula>
    </cfRule>
    <cfRule type="expression" dxfId="51" priority="58">
      <formula>$B$39="Per snede"</formula>
    </cfRule>
  </conditionalFormatting>
  <conditionalFormatting sqref="D40:J40">
    <cfRule type="expression" dxfId="50" priority="57">
      <formula>$B$40="Per snede"</formula>
    </cfRule>
    <cfRule type="expression" dxfId="49" priority="56">
      <formula>$B$40=""</formula>
    </cfRule>
  </conditionalFormatting>
  <conditionalFormatting sqref="E120:E122">
    <cfRule type="cellIs" dxfId="48" priority="28" operator="equal">
      <formula>FALSE</formula>
    </cfRule>
  </conditionalFormatting>
  <conditionalFormatting sqref="E45:L52">
    <cfRule type="cellIs" dxfId="47" priority="87" operator="equal">
      <formula>0</formula>
    </cfRule>
  </conditionalFormatting>
  <conditionalFormatting sqref="F111">
    <cfRule type="cellIs" dxfId="46" priority="33" operator="between">
      <formula>170</formula>
      <formula>255</formula>
    </cfRule>
    <cfRule type="cellIs" dxfId="45" priority="32" operator="greaterThan">
      <formula>255</formula>
    </cfRule>
  </conditionalFormatting>
  <conditionalFormatting sqref="F63:M68 F71:M76 F79:M84 F87:M92 F95:M100 F103:M108">
    <cfRule type="cellIs" dxfId="44" priority="85" operator="equal">
      <formula>0</formula>
    </cfRule>
  </conditionalFormatting>
  <conditionalFormatting sqref="F111:M111 O111">
    <cfRule type="cellIs" dxfId="43" priority="86" operator="equal">
      <formula>0</formula>
    </cfRule>
  </conditionalFormatting>
  <conditionalFormatting sqref="G102">
    <cfRule type="cellIs" dxfId="42" priority="29" operator="equal">
      <formula>0</formula>
    </cfRule>
  </conditionalFormatting>
  <conditionalFormatting sqref="G111">
    <cfRule type="expression" dxfId="41" priority="7">
      <formula>$G$111&gt;$D$16*1.25</formula>
    </cfRule>
    <cfRule type="expression" dxfId="40" priority="31">
      <formula>$G$111&gt;$D$16</formula>
    </cfRule>
  </conditionalFormatting>
  <conditionalFormatting sqref="G2:M9">
    <cfRule type="expression" dxfId="39" priority="30">
      <formula>$D$5=""</formula>
    </cfRule>
  </conditionalFormatting>
  <conditionalFormatting sqref="G2:S9">
    <cfRule type="expression" dxfId="38" priority="69">
      <formula>$D$5="Maaien"</formula>
    </cfRule>
  </conditionalFormatting>
  <conditionalFormatting sqref="G3:S3">
    <cfRule type="expression" dxfId="37" priority="68">
      <formula>$D$5="Maaien + grazen"</formula>
    </cfRule>
  </conditionalFormatting>
  <conditionalFormatting sqref="G4:S4">
    <cfRule type="expression" dxfId="36" priority="67">
      <formula>$G$4=1</formula>
    </cfRule>
  </conditionalFormatting>
  <conditionalFormatting sqref="G4:S9">
    <cfRule type="expression" dxfId="35" priority="43">
      <formula>$D$5="Maaien"</formula>
    </cfRule>
  </conditionalFormatting>
  <conditionalFormatting sqref="G5:S5">
    <cfRule type="expression" dxfId="34" priority="66">
      <formula>$G$5=2</formula>
    </cfRule>
  </conditionalFormatting>
  <conditionalFormatting sqref="G6:S6">
    <cfRule type="expression" dxfId="33" priority="65">
      <formula>$G$6=3</formula>
    </cfRule>
  </conditionalFormatting>
  <conditionalFormatting sqref="G7:S7">
    <cfRule type="expression" dxfId="32" priority="64">
      <formula>$G$7=4</formula>
    </cfRule>
  </conditionalFormatting>
  <conditionalFormatting sqref="G8:S8">
    <cfRule type="expression" dxfId="31" priority="63">
      <formula>$G$8=5</formula>
    </cfRule>
  </conditionalFormatting>
  <conditionalFormatting sqref="G9:S9">
    <cfRule type="expression" dxfId="30" priority="62">
      <formula>$G$9=6</formula>
    </cfRule>
  </conditionalFormatting>
  <conditionalFormatting sqref="H4 J4:M4">
    <cfRule type="expression" dxfId="29" priority="78">
      <formula>$G$4=1</formula>
    </cfRule>
  </conditionalFormatting>
  <conditionalFormatting sqref="H5 J5:M5">
    <cfRule type="expression" dxfId="28" priority="83">
      <formula>$G$5=2</formula>
    </cfRule>
  </conditionalFormatting>
  <conditionalFormatting sqref="H6 J6:M6">
    <cfRule type="expression" dxfId="27" priority="82">
      <formula>$G$6=3</formula>
    </cfRule>
  </conditionalFormatting>
  <conditionalFormatting sqref="H7 J7:M7">
    <cfRule type="expression" dxfId="26" priority="81">
      <formula>$G$7=4</formula>
    </cfRule>
  </conditionalFormatting>
  <conditionalFormatting sqref="H8 J8:M8">
    <cfRule type="expression" dxfId="25" priority="80">
      <formula>$G$8=5</formula>
    </cfRule>
  </conditionalFormatting>
  <conditionalFormatting sqref="H9 J9:M9">
    <cfRule type="expression" dxfId="24" priority="79">
      <formula>$G$9=6</formula>
    </cfRule>
  </conditionalFormatting>
  <conditionalFormatting sqref="H111">
    <cfRule type="expression" dxfId="23" priority="8">
      <formula>$H$111&gt;$E$16</formula>
    </cfRule>
  </conditionalFormatting>
  <conditionalFormatting sqref="H4:S4">
    <cfRule type="expression" dxfId="22" priority="75">
      <formula>$G$4=""</formula>
    </cfRule>
  </conditionalFormatting>
  <conditionalFormatting sqref="H5:S5">
    <cfRule type="expression" dxfId="21" priority="70">
      <formula>$G$5=""</formula>
    </cfRule>
  </conditionalFormatting>
  <conditionalFormatting sqref="H6:S6">
    <cfRule type="expression" dxfId="20" priority="71">
      <formula>$G$6=""</formula>
    </cfRule>
  </conditionalFormatting>
  <conditionalFormatting sqref="H7:S7">
    <cfRule type="expression" dxfId="19" priority="72">
      <formula>$G$7=""</formula>
    </cfRule>
  </conditionalFormatting>
  <conditionalFormatting sqref="H8:S8">
    <cfRule type="expression" dxfId="18" priority="73">
      <formula>$G$8=""</formula>
    </cfRule>
  </conditionalFormatting>
  <conditionalFormatting sqref="H9:S9">
    <cfRule type="expression" dxfId="17" priority="74">
      <formula>$G$9=""</formula>
    </cfRule>
  </conditionalFormatting>
  <conditionalFormatting sqref="I4">
    <cfRule type="expression" dxfId="16" priority="1">
      <formula>$H$4="Melkkoeien"</formula>
    </cfRule>
  </conditionalFormatting>
  <conditionalFormatting sqref="I5">
    <cfRule type="expression" dxfId="15" priority="2">
      <formula>$H$5="Melkkoeien"</formula>
    </cfRule>
  </conditionalFormatting>
  <conditionalFormatting sqref="I6">
    <cfRule type="expression" dxfId="14" priority="3">
      <formula>$H$6="Melkkoeien"</formula>
    </cfRule>
  </conditionalFormatting>
  <conditionalFormatting sqref="I7">
    <cfRule type="expression" dxfId="13" priority="4">
      <formula>$H$7="Melkkoeien"</formula>
    </cfRule>
  </conditionalFormatting>
  <conditionalFormatting sqref="I8">
    <cfRule type="expression" dxfId="12" priority="5">
      <formula>$H$8="Melkkoeien"</formula>
    </cfRule>
  </conditionalFormatting>
  <conditionalFormatting sqref="I9">
    <cfRule type="expression" dxfId="11" priority="6">
      <formula>$H$9="Melkkoeien"</formula>
    </cfRule>
  </conditionalFormatting>
  <conditionalFormatting sqref="K5:L6">
    <cfRule type="expression" dxfId="10" priority="27">
      <formula>$G$4=""</formula>
    </cfRule>
  </conditionalFormatting>
  <conditionalFormatting sqref="M45:M55">
    <cfRule type="cellIs" dxfId="9" priority="42" operator="equal">
      <formula>0</formula>
    </cfRule>
  </conditionalFormatting>
  <conditionalFormatting sqref="M53">
    <cfRule type="expression" dxfId="8" priority="39">
      <formula>$C$53="Begrazingsnede 1"</formula>
    </cfRule>
  </conditionalFormatting>
  <conditionalFormatting sqref="M54">
    <cfRule type="expression" dxfId="7" priority="38">
      <formula>$C$54="Begrazingsnede 2"</formula>
    </cfRule>
  </conditionalFormatting>
  <conditionalFormatting sqref="M55">
    <cfRule type="expression" dxfId="6" priority="37">
      <formula>$C$55="Begrazingsnede 3"</formula>
    </cfRule>
  </conditionalFormatting>
  <conditionalFormatting sqref="M56">
    <cfRule type="expression" dxfId="5" priority="41">
      <formula>$D$56="kg"</formula>
    </cfRule>
    <cfRule type="expression" dxfId="4" priority="36">
      <formula>$C$56="Begrazingsnede 4"</formula>
    </cfRule>
  </conditionalFormatting>
  <conditionalFormatting sqref="M56:M58">
    <cfRule type="expression" dxfId="3" priority="40">
      <formula>$D$5="Maaien"</formula>
    </cfRule>
  </conditionalFormatting>
  <conditionalFormatting sqref="M57">
    <cfRule type="expression" dxfId="2" priority="35">
      <formula>$C$57="Begrazingsnede 5"</formula>
    </cfRule>
  </conditionalFormatting>
  <conditionalFormatting sqref="M58">
    <cfRule type="expression" dxfId="1" priority="34">
      <formula>$C$58="Begrazingsnede 6"</formula>
    </cfRule>
  </conditionalFormatting>
  <conditionalFormatting sqref="N45:Q52">
    <cfRule type="cellIs" dxfId="0" priority="76" operator="equal">
      <formula>0</formula>
    </cfRule>
  </conditionalFormatting>
  <dataValidations count="9">
    <dataValidation type="list" allowBlank="1" showInputMessage="1" showErrorMessage="1" sqref="I9" xr:uid="{4FD431E3-5D50-4A72-97A8-04A63018437C}">
      <formula1>INDIRECT($H$9)</formula1>
    </dataValidation>
    <dataValidation type="list" allowBlank="1" showInputMessage="1" showErrorMessage="1" sqref="I8" xr:uid="{4BFAF915-FFCD-4E2A-845B-C0FDEBB53D07}">
      <formula1>INDIRECT($H$8)</formula1>
    </dataValidation>
    <dataValidation type="list" allowBlank="1" showInputMessage="1" showErrorMessage="1" sqref="I7" xr:uid="{87DC0013-EA61-4AB9-804C-273F2906F259}">
      <formula1>INDIRECT($H$7)</formula1>
    </dataValidation>
    <dataValidation type="list" allowBlank="1" showInputMessage="1" showErrorMessage="1" sqref="I6" xr:uid="{114789BF-A195-4FEE-98E0-757061FD3477}">
      <formula1>INDIRECT($H$6)</formula1>
    </dataValidation>
    <dataValidation type="list" allowBlank="1" showInputMessage="1" showErrorMessage="1" sqref="I5" xr:uid="{0D67ED49-0F32-4BF4-BC52-C69BA0B071EF}">
      <formula1>INDIRECT($H$5)</formula1>
    </dataValidation>
    <dataValidation type="list" allowBlank="1" showInputMessage="1" showErrorMessage="1" sqref="I4" xr:uid="{569B85C2-B887-486C-868F-B52D2CAD05D8}">
      <formula1>INDIRECT($H$4)</formula1>
    </dataValidation>
    <dataValidation type="list" allowBlank="1" showInputMessage="1" showErrorMessage="1" sqref="H4:H9" xr:uid="{BD67DF47-D3DE-47F5-9236-5E302441A8B1}">
      <formula1>Diercategorie</formula1>
    </dataValidation>
    <dataValidation type="list" allowBlank="1" showInputMessage="1" showErrorMessage="1" sqref="D7" xr:uid="{505C55CE-72D0-4614-A47D-846D4CB95681}">
      <formula1>"Ja,Nee"</formula1>
    </dataValidation>
    <dataValidation type="list" allowBlank="1" showInputMessage="1" showErrorMessage="1" sqref="C71:C76 C63:C68 C79:C84 C87:C92 C95:C100 C103:C108" xr:uid="{45A998E7-7AF1-4B94-BB18-FA4708D55399}">
      <formula1>$C$45:$C$58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BBC323E3-7538-4C78-BA0D-3F3B75608C07}">
          <x14:formula1>
            <xm:f>'Lijsten en tabellen'!$AQ$3:$AQ$9</xm:f>
          </x14:formula1>
          <xm:sqref>D11</xm:sqref>
        </x14:dataValidation>
        <x14:dataValidation type="list" allowBlank="1" showInputMessage="1" showErrorMessage="1" xr:uid="{778365F5-A8C8-4D8F-ADBA-9E9AB27F0199}">
          <x14:formula1>
            <xm:f>'Lijsten en tabellen'!$AO$3:$AO$8</xm:f>
          </x14:formula1>
          <xm:sqref>D10</xm:sqref>
        </x14:dataValidation>
        <x14:dataValidation type="list" allowBlank="1" showInputMessage="1" showErrorMessage="1" xr:uid="{F178A5DE-D0F0-4A1D-9F22-B333D212C44C}">
          <x14:formula1>
            <xm:f>'Lijsten en tabellen'!$X$3:$X$23</xm:f>
          </x14:formula1>
          <xm:sqref>D4</xm:sqref>
        </x14:dataValidation>
        <x14:dataValidation type="list" allowBlank="1" showInputMessage="1" showErrorMessage="1" xr:uid="{6D6F0412-BB2E-4064-A9BE-BE22E235EFB6}">
          <x14:formula1>
            <xm:f>'Lijsten en tabellen'!$B$6:$B$7</xm:f>
          </x14:formula1>
          <xm:sqref>D5</xm:sqref>
        </x14:dataValidation>
        <x14:dataValidation type="list" allowBlank="1" showInputMessage="1" showErrorMessage="1" xr:uid="{87764CE2-6A75-48BC-A051-3BB9C8C02D30}">
          <x14:formula1>
            <xm:f>'Lijsten en tabellen'!$D$3:$K$3</xm:f>
          </x14:formula1>
          <xm:sqref>D6</xm:sqref>
        </x14:dataValidation>
        <x14:dataValidation type="list" allowBlank="1" showInputMessage="1" showErrorMessage="1" xr:uid="{706F8524-7BC7-4BF4-BF35-EF41F438B464}">
          <x14:formula1>
            <xm:f>'Lijsten en tabellen'!$D$4:$K$4</xm:f>
          </x14:formula1>
          <xm:sqref>D3</xm:sqref>
        </x14:dataValidation>
        <x14:dataValidation type="list" allowBlank="1" showInputMessage="1" showErrorMessage="1" xr:uid="{17CC38AD-57D0-4E33-90DF-FDAD3BD292EC}">
          <x14:formula1>
            <xm:f>'Lijsten en tabellen'!$S$3:$V$3</xm:f>
          </x14:formula1>
          <xm:sqref>D8</xm:sqref>
        </x14:dataValidation>
        <x14:dataValidation type="list" allowBlank="1" showInputMessage="1" showErrorMessage="1" xr:uid="{885567CA-5A5F-4106-8B03-3F264DAF7054}">
          <x14:formula1>
            <xm:f>'Lijsten en tabellen'!$AP$3:$AP$4</xm:f>
          </x14:formula1>
          <xm:sqref>C20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93BB2-6B3D-43A4-8870-0EEF90F0B80A}">
  <dimension ref="A1:B21"/>
  <sheetViews>
    <sheetView topLeftCell="C1" workbookViewId="0">
      <selection activeCell="B1" sqref="A1:B1048576"/>
    </sheetView>
  </sheetViews>
  <sheetFormatPr defaultRowHeight="14.4" x14ac:dyDescent="0.3"/>
  <cols>
    <col min="1" max="2" width="8.88671875" hidden="1" customWidth="1"/>
  </cols>
  <sheetData>
    <row r="1" spans="1:2" x14ac:dyDescent="0.3">
      <c r="A1" s="4" t="s">
        <v>535</v>
      </c>
    </row>
    <row r="3" spans="1:2" x14ac:dyDescent="0.3">
      <c r="A3" s="4" t="s">
        <v>536</v>
      </c>
    </row>
    <row r="4" spans="1:2" x14ac:dyDescent="0.3">
      <c r="A4" t="s">
        <v>537</v>
      </c>
    </row>
    <row r="5" spans="1:2" x14ac:dyDescent="0.3">
      <c r="B5" t="s">
        <v>618</v>
      </c>
    </row>
    <row r="6" spans="1:2" x14ac:dyDescent="0.3">
      <c r="A6" t="s">
        <v>539</v>
      </c>
    </row>
    <row r="7" spans="1:2" x14ac:dyDescent="0.3">
      <c r="A7" t="s">
        <v>540</v>
      </c>
    </row>
    <row r="15" spans="1:2" x14ac:dyDescent="0.3">
      <c r="A15" s="4" t="s">
        <v>541</v>
      </c>
    </row>
    <row r="16" spans="1:2" x14ac:dyDescent="0.3">
      <c r="A16" t="s">
        <v>542</v>
      </c>
    </row>
    <row r="17" spans="1:1" x14ac:dyDescent="0.3">
      <c r="A17" t="s">
        <v>543</v>
      </c>
    </row>
    <row r="18" spans="1:1" x14ac:dyDescent="0.3">
      <c r="A18" t="s">
        <v>544</v>
      </c>
    </row>
    <row r="19" spans="1:1" x14ac:dyDescent="0.3">
      <c r="A19" t="s">
        <v>545</v>
      </c>
    </row>
    <row r="20" spans="1:1" x14ac:dyDescent="0.3">
      <c r="A20" t="s">
        <v>546</v>
      </c>
    </row>
    <row r="21" spans="1:1" x14ac:dyDescent="0.3">
      <c r="A21" t="s">
        <v>547</v>
      </c>
    </row>
  </sheetData>
  <sheetProtection algorithmName="SHA-512" hashValue="qRW3FbsJRKpOuOe/O+OS1XGaqjh7i3JKS0xvuauL9zMdHvMbPWNbVZ5MjDnezj9yhrrYYa+K6mPiVuZGVRDgmA==" saltValue="NrA37esP3Nb+Z9/k9tDhqQ==" spinCount="100000" sheet="1" objects="1" scenarios="1" selectLockedCell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89FCE-FC5F-4AD4-A124-976309ABEC63}">
  <dimension ref="A1:N23"/>
  <sheetViews>
    <sheetView topLeftCell="O1" workbookViewId="0">
      <selection activeCell="N2" sqref="A1:N1048576"/>
    </sheetView>
  </sheetViews>
  <sheetFormatPr defaultRowHeight="14.4" x14ac:dyDescent="0.3"/>
  <cols>
    <col min="1" max="1" width="0" hidden="1" customWidth="1"/>
    <col min="2" max="2" width="17.44140625" hidden="1" customWidth="1"/>
    <col min="3" max="4" width="31.33203125" hidden="1" customWidth="1"/>
    <col min="5" max="6" width="16.6640625" hidden="1" customWidth="1"/>
    <col min="7" max="7" width="26.33203125" hidden="1" customWidth="1"/>
    <col min="8" max="14" width="0" hidden="1" customWidth="1"/>
  </cols>
  <sheetData>
    <row r="1" spans="1:14" x14ac:dyDescent="0.3">
      <c r="H1" s="226" t="s">
        <v>455</v>
      </c>
      <c r="I1" s="226"/>
      <c r="J1" s="226"/>
      <c r="K1" s="226"/>
      <c r="L1" s="226"/>
      <c r="M1" s="226"/>
      <c r="N1" s="226"/>
    </row>
    <row r="2" spans="1:14" x14ac:dyDescent="0.3">
      <c r="A2" t="s">
        <v>453</v>
      </c>
      <c r="B2" t="s">
        <v>404</v>
      </c>
      <c r="C2" t="s">
        <v>454</v>
      </c>
      <c r="D2" t="s">
        <v>612</v>
      </c>
      <c r="E2" s="45" t="s">
        <v>456</v>
      </c>
      <c r="G2" t="s">
        <v>462</v>
      </c>
      <c r="H2" t="s">
        <v>428</v>
      </c>
      <c r="I2" t="s">
        <v>444</v>
      </c>
      <c r="J2" t="s">
        <v>445</v>
      </c>
      <c r="K2" t="s">
        <v>416</v>
      </c>
      <c r="L2" t="s">
        <v>417</v>
      </c>
      <c r="M2" t="s">
        <v>446</v>
      </c>
      <c r="N2" t="s">
        <v>447</v>
      </c>
    </row>
    <row r="3" spans="1:14" x14ac:dyDescent="0.3">
      <c r="A3" t="s">
        <v>7</v>
      </c>
      <c r="B3" t="s">
        <v>2</v>
      </c>
      <c r="C3" t="s">
        <v>421</v>
      </c>
      <c r="D3" t="s">
        <v>421</v>
      </c>
      <c r="E3" s="45" t="s">
        <v>421</v>
      </c>
      <c r="G3" t="str">
        <f>_xlfn.CONCAT(A3,B3,C3,D3)</f>
        <v>ZandMaaienNeeNee</v>
      </c>
      <c r="H3">
        <v>350</v>
      </c>
      <c r="I3">
        <v>90</v>
      </c>
      <c r="J3">
        <v>380</v>
      </c>
      <c r="K3">
        <v>50</v>
      </c>
      <c r="N3">
        <v>80</v>
      </c>
    </row>
    <row r="4" spans="1:14" x14ac:dyDescent="0.3">
      <c r="A4" t="s">
        <v>7</v>
      </c>
      <c r="B4" t="s">
        <v>2</v>
      </c>
      <c r="C4" t="s">
        <v>451</v>
      </c>
      <c r="D4" t="s">
        <v>421</v>
      </c>
      <c r="E4" s="45" t="s">
        <v>421</v>
      </c>
      <c r="G4" t="str">
        <f t="shared" ref="G4:G14" si="0">_xlfn.CONCAT(A4,B4,C4,D4)</f>
        <v>ZandMaaienJaNee</v>
      </c>
      <c r="H4">
        <v>220</v>
      </c>
      <c r="I4">
        <v>90</v>
      </c>
      <c r="J4">
        <v>400</v>
      </c>
      <c r="K4">
        <v>50</v>
      </c>
      <c r="N4">
        <v>80</v>
      </c>
    </row>
    <row r="5" spans="1:14" x14ac:dyDescent="0.3">
      <c r="A5" t="s">
        <v>7</v>
      </c>
      <c r="B5" t="s">
        <v>3</v>
      </c>
      <c r="C5" t="s">
        <v>421</v>
      </c>
      <c r="D5" t="s">
        <v>421</v>
      </c>
      <c r="E5" s="45" t="s">
        <v>421</v>
      </c>
      <c r="G5" t="str">
        <f t="shared" si="0"/>
        <v>ZandMaaien + grazenNeeNee</v>
      </c>
      <c r="H5">
        <v>220</v>
      </c>
      <c r="I5">
        <v>80</v>
      </c>
      <c r="J5">
        <v>170</v>
      </c>
      <c r="K5">
        <v>45</v>
      </c>
      <c r="N5">
        <v>70</v>
      </c>
    </row>
    <row r="6" spans="1:14" x14ac:dyDescent="0.3">
      <c r="A6" t="s">
        <v>7</v>
      </c>
      <c r="B6" t="s">
        <v>3</v>
      </c>
      <c r="C6" t="s">
        <v>451</v>
      </c>
      <c r="D6" t="s">
        <v>421</v>
      </c>
      <c r="E6" s="45" t="s">
        <v>421</v>
      </c>
      <c r="G6" t="str">
        <f t="shared" si="0"/>
        <v>ZandMaaien + grazenJaNee</v>
      </c>
      <c r="H6">
        <v>180</v>
      </c>
      <c r="I6">
        <v>80</v>
      </c>
      <c r="J6">
        <v>180</v>
      </c>
      <c r="K6">
        <v>45</v>
      </c>
      <c r="N6">
        <v>70</v>
      </c>
    </row>
    <row r="7" spans="1:14" x14ac:dyDescent="0.3">
      <c r="A7" t="s">
        <v>8</v>
      </c>
      <c r="B7" t="s">
        <v>2</v>
      </c>
      <c r="C7" t="s">
        <v>421</v>
      </c>
      <c r="D7" t="s">
        <v>421</v>
      </c>
      <c r="E7" s="45" t="s">
        <v>421</v>
      </c>
      <c r="G7" t="str">
        <f t="shared" si="0"/>
        <v>Niet-zandMaaienNeeNee</v>
      </c>
      <c r="H7">
        <v>350</v>
      </c>
      <c r="I7">
        <v>90</v>
      </c>
      <c r="J7">
        <v>340</v>
      </c>
      <c r="K7">
        <v>35</v>
      </c>
      <c r="N7">
        <v>80</v>
      </c>
    </row>
    <row r="8" spans="1:14" x14ac:dyDescent="0.3">
      <c r="A8" t="s">
        <v>8</v>
      </c>
      <c r="B8" t="s">
        <v>2</v>
      </c>
      <c r="C8" t="s">
        <v>451</v>
      </c>
      <c r="D8" t="s">
        <v>421</v>
      </c>
      <c r="E8" s="45" t="s">
        <v>421</v>
      </c>
      <c r="F8" s="46"/>
      <c r="G8" t="str">
        <f t="shared" si="0"/>
        <v>Niet-zandMaaienJaNee</v>
      </c>
      <c r="H8">
        <v>220</v>
      </c>
      <c r="I8">
        <v>90</v>
      </c>
      <c r="J8">
        <v>350</v>
      </c>
      <c r="K8">
        <v>35</v>
      </c>
      <c r="N8">
        <v>80</v>
      </c>
    </row>
    <row r="9" spans="1:14" x14ac:dyDescent="0.3">
      <c r="A9" t="s">
        <v>8</v>
      </c>
      <c r="B9" t="s">
        <v>3</v>
      </c>
      <c r="C9" t="s">
        <v>421</v>
      </c>
      <c r="D9" t="s">
        <v>421</v>
      </c>
      <c r="E9" s="45" t="s">
        <v>421</v>
      </c>
      <c r="G9" t="str">
        <f t="shared" si="0"/>
        <v>Niet-zandMaaien + grazenNeeNee</v>
      </c>
      <c r="H9">
        <v>220</v>
      </c>
      <c r="I9">
        <v>80</v>
      </c>
      <c r="J9">
        <v>140</v>
      </c>
      <c r="K9">
        <v>30</v>
      </c>
      <c r="N9">
        <v>70</v>
      </c>
    </row>
    <row r="10" spans="1:14" x14ac:dyDescent="0.3">
      <c r="A10" t="s">
        <v>8</v>
      </c>
      <c r="B10" t="s">
        <v>3</v>
      </c>
      <c r="C10" t="s">
        <v>451</v>
      </c>
      <c r="D10" t="s">
        <v>421</v>
      </c>
      <c r="E10" s="45" t="s">
        <v>421</v>
      </c>
      <c r="G10" t="str">
        <f t="shared" si="0"/>
        <v>Niet-zandMaaien + grazenJaNee</v>
      </c>
      <c r="H10">
        <v>180</v>
      </c>
      <c r="I10">
        <v>80</v>
      </c>
      <c r="J10">
        <v>140</v>
      </c>
      <c r="K10">
        <v>30</v>
      </c>
      <c r="N10">
        <v>70</v>
      </c>
    </row>
    <row r="11" spans="1:14" x14ac:dyDescent="0.3">
      <c r="A11" t="s">
        <v>7</v>
      </c>
      <c r="B11" t="s">
        <v>2</v>
      </c>
      <c r="C11" t="s">
        <v>451</v>
      </c>
      <c r="D11" t="s">
        <v>451</v>
      </c>
      <c r="E11" s="45" t="s">
        <v>421</v>
      </c>
      <c r="G11" t="str">
        <f t="shared" si="0"/>
        <v>ZandMaaienJaJa</v>
      </c>
      <c r="H11">
        <v>180</v>
      </c>
      <c r="I11">
        <v>90</v>
      </c>
      <c r="J11">
        <v>400</v>
      </c>
      <c r="K11">
        <v>50</v>
      </c>
      <c r="N11">
        <v>80</v>
      </c>
    </row>
    <row r="12" spans="1:14" x14ac:dyDescent="0.3">
      <c r="A12" t="s">
        <v>7</v>
      </c>
      <c r="B12" t="s">
        <v>3</v>
      </c>
      <c r="C12" t="s">
        <v>451</v>
      </c>
      <c r="D12" t="s">
        <v>451</v>
      </c>
      <c r="E12" s="45" t="s">
        <v>421</v>
      </c>
      <c r="G12" t="str">
        <f t="shared" si="0"/>
        <v>ZandMaaien + grazenJaJa</v>
      </c>
      <c r="H12">
        <v>180</v>
      </c>
      <c r="I12">
        <v>80</v>
      </c>
      <c r="J12">
        <v>180</v>
      </c>
      <c r="K12">
        <v>45</v>
      </c>
      <c r="N12">
        <v>70</v>
      </c>
    </row>
    <row r="13" spans="1:14" x14ac:dyDescent="0.3">
      <c r="A13" t="s">
        <v>8</v>
      </c>
      <c r="B13" t="s">
        <v>2</v>
      </c>
      <c r="C13" t="s">
        <v>451</v>
      </c>
      <c r="D13" t="s">
        <v>451</v>
      </c>
      <c r="E13" s="45" t="s">
        <v>421</v>
      </c>
      <c r="G13" t="str">
        <f t="shared" si="0"/>
        <v>Niet-zandMaaienJaJa</v>
      </c>
      <c r="H13">
        <v>180</v>
      </c>
      <c r="I13">
        <v>90</v>
      </c>
      <c r="J13">
        <v>350</v>
      </c>
      <c r="K13">
        <v>35</v>
      </c>
      <c r="N13">
        <v>80</v>
      </c>
    </row>
    <row r="14" spans="1:14" x14ac:dyDescent="0.3">
      <c r="A14" t="s">
        <v>8</v>
      </c>
      <c r="B14" t="s">
        <v>3</v>
      </c>
      <c r="C14" t="s">
        <v>451</v>
      </c>
      <c r="D14" t="s">
        <v>451</v>
      </c>
      <c r="E14" s="45" t="s">
        <v>421</v>
      </c>
      <c r="G14" t="str">
        <f t="shared" si="0"/>
        <v>Niet-zandMaaien + grazenJaJa</v>
      </c>
      <c r="H14">
        <v>180</v>
      </c>
      <c r="I14">
        <v>80</v>
      </c>
      <c r="J14">
        <v>140</v>
      </c>
      <c r="K14">
        <v>30</v>
      </c>
      <c r="N14">
        <v>70</v>
      </c>
    </row>
    <row r="15" spans="1:14" x14ac:dyDescent="0.3">
      <c r="E15" s="45" t="s">
        <v>451</v>
      </c>
    </row>
    <row r="16" spans="1:14" x14ac:dyDescent="0.3">
      <c r="A16" s="42"/>
    </row>
    <row r="17" spans="1:1" x14ac:dyDescent="0.3">
      <c r="A17" s="21" t="s">
        <v>457</v>
      </c>
    </row>
    <row r="18" spans="1:1" x14ac:dyDescent="0.3">
      <c r="A18" t="s">
        <v>458</v>
      </c>
    </row>
    <row r="19" spans="1:1" x14ac:dyDescent="0.3">
      <c r="A19" t="s">
        <v>459</v>
      </c>
    </row>
    <row r="20" spans="1:1" x14ac:dyDescent="0.3">
      <c r="A20" t="s">
        <v>460</v>
      </c>
    </row>
    <row r="21" spans="1:1" x14ac:dyDescent="0.3">
      <c r="A21" t="s">
        <v>461</v>
      </c>
    </row>
    <row r="23" spans="1:1" x14ac:dyDescent="0.3">
      <c r="A23" t="s">
        <v>422</v>
      </c>
    </row>
  </sheetData>
  <sheetProtection algorithmName="SHA-512" hashValue="10jTDTfIHql82UXsuY8Clirzykp7abNv89HSYIz2GR746zp7fcOZTGldRbsCl9g/xajpeOahVqHnoIlYS0HTkw==" saltValue="kb/Ny29zHEWpeNXYcYM7yA==" spinCount="100000" sheet="1" objects="1" scenarios="1" selectLockedCells="1"/>
  <mergeCells count="1">
    <mergeCell ref="H1:N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BFE12-1047-4CCC-BC74-1E2F01386A27}">
  <dimension ref="A1:AQ118"/>
  <sheetViews>
    <sheetView topLeftCell="AR1" workbookViewId="0">
      <selection activeCell="AQ1" sqref="A1:AQ1048576"/>
    </sheetView>
  </sheetViews>
  <sheetFormatPr defaultRowHeight="14.4" x14ac:dyDescent="0.3"/>
  <cols>
    <col min="1" max="1" width="20.5546875" hidden="1" customWidth="1"/>
    <col min="2" max="2" width="38.88671875" hidden="1" customWidth="1"/>
    <col min="3" max="3" width="14.6640625" hidden="1" customWidth="1"/>
    <col min="4" max="4" width="13.33203125" hidden="1" customWidth="1"/>
    <col min="5" max="5" width="18.109375" hidden="1" customWidth="1"/>
    <col min="6" max="6" width="13.109375" hidden="1" customWidth="1"/>
    <col min="7" max="7" width="12.33203125" hidden="1" customWidth="1"/>
    <col min="8" max="9" width="12.5546875" hidden="1" customWidth="1"/>
    <col min="10" max="10" width="12.88671875" hidden="1" customWidth="1"/>
    <col min="11" max="11" width="12.6640625" hidden="1" customWidth="1"/>
    <col min="12" max="12" width="20.5546875" hidden="1" customWidth="1"/>
    <col min="13" max="14" width="41.33203125" hidden="1" customWidth="1"/>
    <col min="15" max="15" width="39.44140625" hidden="1" customWidth="1"/>
    <col min="16" max="16" width="20.5546875" hidden="1" customWidth="1"/>
    <col min="17" max="17" width="10.6640625" hidden="1" customWidth="1"/>
    <col min="18" max="22" width="20.5546875" hidden="1" customWidth="1"/>
    <col min="23" max="23" width="0" hidden="1" customWidth="1"/>
    <col min="24" max="24" width="68.6640625" hidden="1" customWidth="1"/>
    <col min="25" max="25" width="13.6640625" hidden="1" customWidth="1"/>
    <col min="26" max="26" width="27.5546875" hidden="1" customWidth="1"/>
    <col min="27" max="28" width="47.6640625" hidden="1" customWidth="1"/>
    <col min="29" max="29" width="17.33203125" hidden="1" customWidth="1"/>
    <col min="30" max="30" width="46" hidden="1" customWidth="1"/>
    <col min="31" max="31" width="41.33203125" hidden="1" customWidth="1"/>
    <col min="32" max="32" width="48.33203125" hidden="1" customWidth="1"/>
    <col min="33" max="33" width="17.33203125" hidden="1" customWidth="1"/>
    <col min="34" max="34" width="0" hidden="1" customWidth="1"/>
    <col min="35" max="35" width="29.33203125" hidden="1" customWidth="1"/>
    <col min="36" max="36" width="27.88671875" hidden="1" customWidth="1"/>
    <col min="37" max="37" width="25.6640625" hidden="1" customWidth="1"/>
    <col min="38" max="38" width="18.33203125" hidden="1" customWidth="1"/>
    <col min="39" max="39" width="15.33203125" hidden="1" customWidth="1"/>
    <col min="40" max="43" width="0" hidden="1" customWidth="1"/>
  </cols>
  <sheetData>
    <row r="1" spans="2:43" ht="15" thickBot="1" x14ac:dyDescent="0.35">
      <c r="B1" s="227" t="s">
        <v>1</v>
      </c>
      <c r="C1" s="227"/>
      <c r="D1" s="227"/>
      <c r="E1" s="227"/>
      <c r="F1" s="227"/>
      <c r="G1" s="227"/>
      <c r="H1" s="227"/>
      <c r="I1" s="227"/>
      <c r="J1" s="227"/>
      <c r="K1" s="227"/>
      <c r="L1" s="227"/>
      <c r="M1" s="3"/>
      <c r="N1" s="3"/>
      <c r="O1" s="3"/>
      <c r="P1" s="3"/>
      <c r="Q1" s="1"/>
      <c r="R1" s="227" t="s">
        <v>36</v>
      </c>
      <c r="S1" s="227"/>
      <c r="T1" s="227"/>
      <c r="U1" s="227"/>
      <c r="V1" s="227"/>
      <c r="X1" s="227" t="s">
        <v>37</v>
      </c>
      <c r="Y1" s="227"/>
      <c r="Z1" s="227"/>
      <c r="AC1" s="226"/>
      <c r="AD1" s="226"/>
      <c r="AE1" s="226"/>
      <c r="AF1" s="226"/>
      <c r="AG1" s="226"/>
    </row>
    <row r="2" spans="2:43" x14ac:dyDescent="0.3">
      <c r="C2" s="34"/>
      <c r="D2" s="228" t="s">
        <v>10</v>
      </c>
      <c r="E2" s="228"/>
      <c r="F2" s="228"/>
      <c r="G2" s="228"/>
      <c r="H2" s="228"/>
      <c r="I2" s="228"/>
      <c r="J2" s="228"/>
      <c r="K2" s="229"/>
      <c r="L2" s="94" t="s">
        <v>9</v>
      </c>
      <c r="M2" s="89" t="s">
        <v>38</v>
      </c>
      <c r="N2" s="88"/>
      <c r="O2" s="89" t="s">
        <v>39</v>
      </c>
      <c r="P2" s="4"/>
      <c r="S2" s="213" t="s">
        <v>35</v>
      </c>
      <c r="T2" s="213"/>
      <c r="U2" s="213"/>
      <c r="V2" s="213"/>
      <c r="X2" s="4" t="s">
        <v>11</v>
      </c>
      <c r="Y2" s="4" t="s">
        <v>12</v>
      </c>
      <c r="Z2" s="4" t="s">
        <v>34</v>
      </c>
      <c r="AA2" s="4" t="s">
        <v>452</v>
      </c>
      <c r="AB2" s="4"/>
      <c r="AC2" s="4" t="s">
        <v>526</v>
      </c>
      <c r="AD2" s="4" t="s">
        <v>66</v>
      </c>
      <c r="AE2" s="4" t="s">
        <v>370</v>
      </c>
      <c r="AF2" s="4" t="s">
        <v>71</v>
      </c>
      <c r="AG2" s="4" t="s">
        <v>371</v>
      </c>
      <c r="AI2" t="s">
        <v>555</v>
      </c>
      <c r="AJ2" t="s">
        <v>554</v>
      </c>
      <c r="AK2" t="s">
        <v>592</v>
      </c>
      <c r="AL2" t="s">
        <v>590</v>
      </c>
      <c r="AM2" t="s">
        <v>591</v>
      </c>
      <c r="AO2" t="s">
        <v>594</v>
      </c>
      <c r="AP2" t="s">
        <v>515</v>
      </c>
      <c r="AQ2" t="s">
        <v>598</v>
      </c>
    </row>
    <row r="3" spans="2:43" ht="15" thickBot="1" x14ac:dyDescent="0.35">
      <c r="C3" s="97" t="s">
        <v>405</v>
      </c>
      <c r="D3">
        <v>0</v>
      </c>
      <c r="E3">
        <v>0</v>
      </c>
      <c r="F3">
        <v>1</v>
      </c>
      <c r="G3">
        <v>1</v>
      </c>
      <c r="H3">
        <v>2</v>
      </c>
      <c r="I3">
        <v>2</v>
      </c>
      <c r="J3">
        <v>3</v>
      </c>
      <c r="K3" s="43">
        <v>3</v>
      </c>
      <c r="L3" s="95"/>
      <c r="M3" s="93">
        <v>1.25</v>
      </c>
      <c r="N3" s="90"/>
      <c r="O3" s="91">
        <v>1.5</v>
      </c>
      <c r="R3" t="s">
        <v>408</v>
      </c>
      <c r="S3" t="s">
        <v>409</v>
      </c>
      <c r="T3" t="s">
        <v>410</v>
      </c>
      <c r="U3" t="s">
        <v>411</v>
      </c>
      <c r="V3" t="s">
        <v>412</v>
      </c>
      <c r="X3" t="s">
        <v>13</v>
      </c>
      <c r="Y3">
        <v>60</v>
      </c>
      <c r="Z3" s="2" t="s">
        <v>6</v>
      </c>
      <c r="AA3" t="s">
        <v>421</v>
      </c>
      <c r="AC3" t="s">
        <v>66</v>
      </c>
      <c r="AD3" t="s">
        <v>67</v>
      </c>
      <c r="AE3" t="s">
        <v>372</v>
      </c>
      <c r="AF3" t="s">
        <v>72</v>
      </c>
      <c r="AG3" t="s">
        <v>373</v>
      </c>
      <c r="AI3" t="s">
        <v>554</v>
      </c>
      <c r="AJ3" t="s">
        <v>558</v>
      </c>
      <c r="AK3" t="str">
        <f>_xlfn.CONCAT($AI$3,AJ3)</f>
        <v>MelkkoeienMaximaal 4000</v>
      </c>
      <c r="AL3">
        <v>26</v>
      </c>
      <c r="AM3">
        <v>81</v>
      </c>
      <c r="AO3">
        <v>1</v>
      </c>
      <c r="AP3" t="s">
        <v>516</v>
      </c>
      <c r="AQ3">
        <v>0</v>
      </c>
    </row>
    <row r="4" spans="2:43" ht="15" thickBot="1" x14ac:dyDescent="0.35">
      <c r="B4" t="s">
        <v>13</v>
      </c>
      <c r="C4" s="40" t="s">
        <v>4</v>
      </c>
      <c r="D4" t="s">
        <v>7</v>
      </c>
      <c r="E4" t="s">
        <v>8</v>
      </c>
      <c r="F4" t="s">
        <v>7</v>
      </c>
      <c r="G4" t="s">
        <v>8</v>
      </c>
      <c r="H4" t="s">
        <v>7</v>
      </c>
      <c r="I4" t="s">
        <v>8</v>
      </c>
      <c r="J4" t="s">
        <v>7</v>
      </c>
      <c r="K4" s="43" t="s">
        <v>8</v>
      </c>
      <c r="L4" s="95"/>
      <c r="N4" s="92" t="s">
        <v>40</v>
      </c>
      <c r="O4" s="93">
        <v>2</v>
      </c>
      <c r="Q4" t="s">
        <v>13</v>
      </c>
      <c r="R4" t="s">
        <v>2</v>
      </c>
      <c r="S4">
        <v>115</v>
      </c>
      <c r="T4">
        <v>95</v>
      </c>
      <c r="U4">
        <v>90</v>
      </c>
      <c r="V4">
        <v>70</v>
      </c>
      <c r="X4" t="s">
        <v>14</v>
      </c>
      <c r="Y4">
        <v>63</v>
      </c>
      <c r="Z4" s="2" t="s">
        <v>6</v>
      </c>
      <c r="AA4" t="s">
        <v>451</v>
      </c>
      <c r="AC4" t="s">
        <v>370</v>
      </c>
      <c r="AD4" t="s">
        <v>79</v>
      </c>
      <c r="AE4" t="s">
        <v>374</v>
      </c>
      <c r="AF4" t="s">
        <v>74</v>
      </c>
      <c r="AG4" t="s">
        <v>375</v>
      </c>
      <c r="AI4" t="s">
        <v>559</v>
      </c>
      <c r="AJ4" t="s">
        <v>565</v>
      </c>
      <c r="AK4" t="str">
        <f t="shared" ref="AK4:AK28" si="0">_xlfn.CONCAT($AI$3,AJ4)</f>
        <v>Melkkoeien4000 tot 4250</v>
      </c>
      <c r="AL4">
        <v>26.5</v>
      </c>
      <c r="AM4">
        <v>83</v>
      </c>
      <c r="AO4">
        <v>2</v>
      </c>
      <c r="AP4" t="s">
        <v>517</v>
      </c>
      <c r="AQ4">
        <v>1</v>
      </c>
    </row>
    <row r="5" spans="2:43" x14ac:dyDescent="0.3">
      <c r="B5" t="s">
        <v>2</v>
      </c>
      <c r="C5" s="40" t="s">
        <v>5</v>
      </c>
      <c r="D5">
        <v>375</v>
      </c>
      <c r="E5">
        <v>385</v>
      </c>
      <c r="F5">
        <v>356</v>
      </c>
      <c r="G5">
        <v>366</v>
      </c>
      <c r="H5">
        <v>300</v>
      </c>
      <c r="I5">
        <v>308</v>
      </c>
      <c r="J5">
        <v>263</v>
      </c>
      <c r="K5" s="43">
        <v>270</v>
      </c>
      <c r="L5" s="95">
        <v>170</v>
      </c>
      <c r="Q5" t="s">
        <v>13</v>
      </c>
      <c r="R5" t="s">
        <v>3</v>
      </c>
      <c r="S5">
        <v>115</v>
      </c>
      <c r="T5">
        <v>95</v>
      </c>
      <c r="U5">
        <v>90</v>
      </c>
      <c r="V5">
        <v>70</v>
      </c>
      <c r="X5" t="s">
        <v>15</v>
      </c>
      <c r="Y5">
        <v>638</v>
      </c>
      <c r="Z5" s="2" t="s">
        <v>6</v>
      </c>
      <c r="AA5" t="s">
        <v>421</v>
      </c>
      <c r="AC5" t="s">
        <v>71</v>
      </c>
      <c r="AD5" t="s">
        <v>82</v>
      </c>
      <c r="AE5" t="s">
        <v>477</v>
      </c>
      <c r="AF5" t="s">
        <v>75</v>
      </c>
      <c r="AG5" t="s">
        <v>377</v>
      </c>
      <c r="AI5" t="s">
        <v>560</v>
      </c>
      <c r="AJ5" t="s">
        <v>566</v>
      </c>
      <c r="AK5" t="str">
        <f t="shared" si="0"/>
        <v>Melkkoeien4250 tot 4500</v>
      </c>
      <c r="AL5">
        <v>27</v>
      </c>
      <c r="AM5">
        <v>85</v>
      </c>
      <c r="AO5">
        <v>3</v>
      </c>
      <c r="AQ5">
        <v>2</v>
      </c>
    </row>
    <row r="6" spans="2:43" x14ac:dyDescent="0.3">
      <c r="B6" t="s">
        <v>2</v>
      </c>
      <c r="C6" s="40" t="s">
        <v>6</v>
      </c>
      <c r="D6">
        <v>375</v>
      </c>
      <c r="E6">
        <v>385</v>
      </c>
      <c r="F6">
        <v>375</v>
      </c>
      <c r="G6">
        <v>385</v>
      </c>
      <c r="H6">
        <v>338</v>
      </c>
      <c r="I6">
        <v>347</v>
      </c>
      <c r="J6">
        <v>300</v>
      </c>
      <c r="K6" s="43">
        <v>308</v>
      </c>
      <c r="L6" s="95">
        <v>170</v>
      </c>
      <c r="X6" t="s">
        <v>16</v>
      </c>
      <c r="Y6">
        <v>657</v>
      </c>
      <c r="Z6" t="s">
        <v>5</v>
      </c>
      <c r="AA6" t="s">
        <v>421</v>
      </c>
      <c r="AC6" t="s">
        <v>371</v>
      </c>
      <c r="AD6" t="s">
        <v>85</v>
      </c>
      <c r="AE6" t="s">
        <v>376</v>
      </c>
      <c r="AF6" t="s">
        <v>76</v>
      </c>
      <c r="AI6" t="s">
        <v>561</v>
      </c>
      <c r="AJ6" t="s">
        <v>567</v>
      </c>
      <c r="AK6" t="str">
        <f t="shared" si="0"/>
        <v>Melkkoeien4500 tot 4750</v>
      </c>
      <c r="AL6">
        <v>27.5</v>
      </c>
      <c r="AM6">
        <v>87</v>
      </c>
      <c r="AO6">
        <v>4</v>
      </c>
      <c r="AQ6">
        <v>3</v>
      </c>
    </row>
    <row r="7" spans="2:43" x14ac:dyDescent="0.3">
      <c r="B7" t="s">
        <v>3</v>
      </c>
      <c r="C7" s="40" t="s">
        <v>5</v>
      </c>
      <c r="D7">
        <v>235</v>
      </c>
      <c r="E7">
        <v>245</v>
      </c>
      <c r="F7">
        <v>223</v>
      </c>
      <c r="G7">
        <v>233</v>
      </c>
      <c r="H7">
        <v>188</v>
      </c>
      <c r="I7">
        <v>196</v>
      </c>
      <c r="J7">
        <v>165</v>
      </c>
      <c r="K7" s="43">
        <v>172</v>
      </c>
      <c r="L7" s="95">
        <v>170</v>
      </c>
      <c r="X7" t="s">
        <v>17</v>
      </c>
      <c r="Y7">
        <v>658</v>
      </c>
      <c r="Z7" t="s">
        <v>5</v>
      </c>
      <c r="AA7" t="s">
        <v>451</v>
      </c>
      <c r="AD7" t="s">
        <v>87</v>
      </c>
      <c r="AE7" t="s">
        <v>378</v>
      </c>
      <c r="AF7" t="s">
        <v>112</v>
      </c>
      <c r="AI7" t="s">
        <v>562</v>
      </c>
      <c r="AJ7" t="s">
        <v>568</v>
      </c>
      <c r="AK7" t="str">
        <f t="shared" si="0"/>
        <v>Melkkoeien4750 tot 5000</v>
      </c>
      <c r="AL7">
        <v>28</v>
      </c>
      <c r="AM7">
        <v>89</v>
      </c>
      <c r="AO7">
        <v>5</v>
      </c>
      <c r="AQ7">
        <v>4</v>
      </c>
    </row>
    <row r="8" spans="2:43" ht="15" thickBot="1" x14ac:dyDescent="0.35">
      <c r="B8" t="s">
        <v>3</v>
      </c>
      <c r="C8" s="37" t="s">
        <v>6</v>
      </c>
      <c r="D8" s="38">
        <v>235</v>
      </c>
      <c r="E8" s="38">
        <v>245</v>
      </c>
      <c r="F8" s="38">
        <v>235</v>
      </c>
      <c r="G8" s="38">
        <v>245</v>
      </c>
      <c r="H8" s="38">
        <v>212</v>
      </c>
      <c r="I8" s="38">
        <v>221</v>
      </c>
      <c r="J8" s="38">
        <v>188</v>
      </c>
      <c r="K8" s="39">
        <v>196</v>
      </c>
      <c r="L8" s="96">
        <v>170</v>
      </c>
      <c r="X8" t="s">
        <v>18</v>
      </c>
      <c r="Y8">
        <v>660</v>
      </c>
      <c r="Z8" s="2" t="s">
        <v>6</v>
      </c>
      <c r="AA8" t="s">
        <v>451</v>
      </c>
      <c r="AD8" t="s">
        <v>89</v>
      </c>
      <c r="AE8" t="s">
        <v>380</v>
      </c>
      <c r="AF8" t="s">
        <v>114</v>
      </c>
      <c r="AI8" t="s">
        <v>563</v>
      </c>
      <c r="AJ8" t="s">
        <v>569</v>
      </c>
      <c r="AK8" t="str">
        <f t="shared" si="0"/>
        <v>Melkkoeien5000 tot 5250</v>
      </c>
      <c r="AL8">
        <v>28.5</v>
      </c>
      <c r="AM8">
        <v>91</v>
      </c>
      <c r="AO8">
        <v>6</v>
      </c>
      <c r="AQ8">
        <v>5</v>
      </c>
    </row>
    <row r="9" spans="2:43" x14ac:dyDescent="0.3">
      <c r="X9" t="s">
        <v>19</v>
      </c>
      <c r="Y9">
        <v>661</v>
      </c>
      <c r="Z9" t="s">
        <v>5</v>
      </c>
      <c r="AA9" t="s">
        <v>451</v>
      </c>
      <c r="AD9" t="s">
        <v>91</v>
      </c>
      <c r="AE9" t="s">
        <v>381</v>
      </c>
      <c r="AF9" t="s">
        <v>116</v>
      </c>
      <c r="AI9" t="s">
        <v>564</v>
      </c>
      <c r="AJ9" t="s">
        <v>570</v>
      </c>
      <c r="AK9" t="str">
        <f t="shared" si="0"/>
        <v>Melkkoeien5250 tot 5500</v>
      </c>
      <c r="AL9">
        <v>29</v>
      </c>
      <c r="AM9">
        <v>93</v>
      </c>
      <c r="AQ9">
        <v>6</v>
      </c>
    </row>
    <row r="10" spans="2:43" x14ac:dyDescent="0.3">
      <c r="B10" t="s">
        <v>407</v>
      </c>
      <c r="C10" t="s">
        <v>10</v>
      </c>
      <c r="E10" t="s">
        <v>420</v>
      </c>
      <c r="F10" t="s">
        <v>10</v>
      </c>
      <c r="X10" t="s">
        <v>20</v>
      </c>
      <c r="Y10">
        <v>700</v>
      </c>
      <c r="Z10" s="2" t="s">
        <v>6</v>
      </c>
      <c r="AA10" t="s">
        <v>451</v>
      </c>
      <c r="AD10" t="s">
        <v>93</v>
      </c>
      <c r="AE10" t="s">
        <v>382</v>
      </c>
      <c r="AF10" t="s">
        <v>118</v>
      </c>
      <c r="AI10" t="s">
        <v>556</v>
      </c>
      <c r="AJ10" t="s">
        <v>571</v>
      </c>
      <c r="AK10" t="str">
        <f t="shared" si="0"/>
        <v>Melkkoeien5500 tot 5750</v>
      </c>
      <c r="AL10">
        <v>29.5</v>
      </c>
      <c r="AM10">
        <v>95</v>
      </c>
    </row>
    <row r="11" spans="2:43" x14ac:dyDescent="0.3">
      <c r="B11" t="str">
        <f>_xlfn.CONCAT(D3,D4,B5,C5)</f>
        <v>0ZandMaaienNG</v>
      </c>
      <c r="C11">
        <f>D5</f>
        <v>375</v>
      </c>
      <c r="E11" t="str">
        <f>_xlfn.CONCAT("Ja",D4,B5)</f>
        <v>JaZandMaaien</v>
      </c>
      <c r="F11">
        <f>D5</f>
        <v>375</v>
      </c>
      <c r="X11" t="s">
        <v>21</v>
      </c>
      <c r="Y11">
        <v>721</v>
      </c>
      <c r="Z11" s="2" t="s">
        <v>6</v>
      </c>
      <c r="AA11" t="s">
        <v>451</v>
      </c>
      <c r="AD11" t="s">
        <v>95</v>
      </c>
      <c r="AE11" t="s">
        <v>383</v>
      </c>
      <c r="AF11" t="s">
        <v>120</v>
      </c>
      <c r="AJ11" t="s">
        <v>572</v>
      </c>
      <c r="AK11" t="str">
        <f t="shared" si="0"/>
        <v>Melkkoeien5750 tot 6000</v>
      </c>
      <c r="AL11">
        <v>30</v>
      </c>
      <c r="AM11">
        <v>97</v>
      </c>
    </row>
    <row r="12" spans="2:43" x14ac:dyDescent="0.3">
      <c r="B12" t="str">
        <f>_xlfn.CONCAT(D3,D4,B5,C6)</f>
        <v>0ZandMaaienNNG</v>
      </c>
      <c r="C12">
        <f>D6</f>
        <v>375</v>
      </c>
      <c r="E12" t="str">
        <f>_xlfn.CONCAT("Ja",D4,B7)</f>
        <v>JaZandMaaien + grazen</v>
      </c>
      <c r="F12">
        <f>D7</f>
        <v>235</v>
      </c>
      <c r="X12" t="s">
        <v>22</v>
      </c>
      <c r="Y12">
        <v>722</v>
      </c>
      <c r="Z12" s="2" t="s">
        <v>6</v>
      </c>
      <c r="AA12" t="s">
        <v>451</v>
      </c>
      <c r="AD12" t="s">
        <v>97</v>
      </c>
      <c r="AE12" t="s">
        <v>523</v>
      </c>
      <c r="AF12" t="s">
        <v>135</v>
      </c>
      <c r="AJ12" t="s">
        <v>573</v>
      </c>
      <c r="AK12" t="str">
        <f t="shared" si="0"/>
        <v>Melkkoeien6000 tot 6250</v>
      </c>
      <c r="AL12">
        <v>31</v>
      </c>
      <c r="AM12">
        <v>99</v>
      </c>
    </row>
    <row r="13" spans="2:43" x14ac:dyDescent="0.3">
      <c r="B13" t="str">
        <f>_xlfn.CONCAT(D3,D4,B7,C7)</f>
        <v>0ZandMaaien + grazenNG</v>
      </c>
      <c r="C13">
        <f>D7</f>
        <v>235</v>
      </c>
      <c r="E13" t="str">
        <f>_xlfn.CONCAT("Ja",E4,B5)</f>
        <v>JaNiet-zandMaaien</v>
      </c>
      <c r="F13">
        <f>E5</f>
        <v>385</v>
      </c>
      <c r="X13" t="s">
        <v>23</v>
      </c>
      <c r="Y13">
        <v>723</v>
      </c>
      <c r="Z13" s="2" t="s">
        <v>6</v>
      </c>
      <c r="AA13" t="s">
        <v>451</v>
      </c>
      <c r="AD13" t="s">
        <v>99</v>
      </c>
      <c r="AE13" t="s">
        <v>524</v>
      </c>
      <c r="AF13" t="s">
        <v>139</v>
      </c>
      <c r="AJ13" t="s">
        <v>574</v>
      </c>
      <c r="AK13" t="str">
        <f t="shared" si="0"/>
        <v>Melkkoeien6250 tot 6500</v>
      </c>
      <c r="AL13">
        <v>31.5</v>
      </c>
      <c r="AM13">
        <v>101</v>
      </c>
    </row>
    <row r="14" spans="2:43" x14ac:dyDescent="0.3">
      <c r="B14" t="str">
        <f>_xlfn.CONCAT(D3,D4,B7,C8)</f>
        <v>0ZandMaaien + grazenNNG</v>
      </c>
      <c r="C14">
        <f>D8</f>
        <v>235</v>
      </c>
      <c r="E14" t="str">
        <f>_xlfn.CONCAT("Ja",E4,B7)</f>
        <v>JaNiet-zandMaaien + grazen</v>
      </c>
      <c r="F14">
        <f>E7</f>
        <v>245</v>
      </c>
      <c r="X14" t="s">
        <v>24</v>
      </c>
      <c r="Y14">
        <v>731</v>
      </c>
      <c r="Z14" s="2" t="s">
        <v>6</v>
      </c>
      <c r="AA14" t="s">
        <v>451</v>
      </c>
      <c r="AD14" t="s">
        <v>101</v>
      </c>
      <c r="AE14" t="s">
        <v>525</v>
      </c>
      <c r="AF14" t="s">
        <v>144</v>
      </c>
      <c r="AJ14" t="s">
        <v>575</v>
      </c>
      <c r="AK14" t="str">
        <f t="shared" si="0"/>
        <v>Melkkoeien6500 tot 6750</v>
      </c>
      <c r="AL14">
        <v>32.5</v>
      </c>
      <c r="AM14">
        <v>103</v>
      </c>
    </row>
    <row r="15" spans="2:43" x14ac:dyDescent="0.3">
      <c r="B15" t="str">
        <f>_xlfn.CONCAT(E3,E4,B5,C5)</f>
        <v>0Niet-zandMaaienNG</v>
      </c>
      <c r="C15">
        <f>E5</f>
        <v>385</v>
      </c>
      <c r="X15" t="s">
        <v>25</v>
      </c>
      <c r="Y15">
        <v>732</v>
      </c>
      <c r="Z15" s="2" t="s">
        <v>6</v>
      </c>
      <c r="AA15" t="s">
        <v>451</v>
      </c>
      <c r="AD15" t="s">
        <v>103</v>
      </c>
      <c r="AE15" t="s">
        <v>384</v>
      </c>
      <c r="AF15" t="s">
        <v>147</v>
      </c>
      <c r="AJ15" t="s">
        <v>576</v>
      </c>
      <c r="AK15" t="str">
        <f t="shared" si="0"/>
        <v>Melkkoeien6750 tot 7000</v>
      </c>
      <c r="AL15">
        <v>33</v>
      </c>
      <c r="AM15">
        <v>105</v>
      </c>
    </row>
    <row r="16" spans="2:43" x14ac:dyDescent="0.3">
      <c r="B16" t="str">
        <f>_xlfn.CONCAT(E3,E4,B5,C6)</f>
        <v>0Niet-zandMaaienNNG</v>
      </c>
      <c r="C16">
        <f>E6</f>
        <v>385</v>
      </c>
      <c r="X16" t="s">
        <v>26</v>
      </c>
      <c r="Y16">
        <v>744</v>
      </c>
      <c r="Z16" s="2" t="s">
        <v>6</v>
      </c>
      <c r="AA16" t="s">
        <v>451</v>
      </c>
      <c r="AD16" t="s">
        <v>106</v>
      </c>
      <c r="AE16" t="s">
        <v>385</v>
      </c>
      <c r="AF16" t="s">
        <v>149</v>
      </c>
      <c r="AJ16" t="s">
        <v>577</v>
      </c>
      <c r="AK16" t="str">
        <f t="shared" si="0"/>
        <v>Melkkoeien7000 tot 7250</v>
      </c>
      <c r="AL16">
        <v>34</v>
      </c>
      <c r="AM16">
        <v>107</v>
      </c>
    </row>
    <row r="17" spans="2:39" x14ac:dyDescent="0.3">
      <c r="B17" t="str">
        <f>_xlfn.CONCAT(E3,E4,B7,C7)</f>
        <v>0Niet-zandMaaien + grazenNG</v>
      </c>
      <c r="C17">
        <f>E7</f>
        <v>245</v>
      </c>
      <c r="X17" t="s">
        <v>27</v>
      </c>
      <c r="Y17">
        <v>745</v>
      </c>
      <c r="Z17" s="2" t="s">
        <v>6</v>
      </c>
      <c r="AA17" t="s">
        <v>451</v>
      </c>
      <c r="AD17" t="s">
        <v>108</v>
      </c>
      <c r="AE17" t="s">
        <v>386</v>
      </c>
      <c r="AF17" t="s">
        <v>180</v>
      </c>
      <c r="AJ17" t="s">
        <v>578</v>
      </c>
      <c r="AK17" t="str">
        <f t="shared" si="0"/>
        <v>Melkkoeien7250 tot 7500</v>
      </c>
      <c r="AL17">
        <v>34.5</v>
      </c>
      <c r="AM17">
        <v>109</v>
      </c>
    </row>
    <row r="18" spans="2:39" x14ac:dyDescent="0.3">
      <c r="B18" t="str">
        <f>_xlfn.CONCAT(E3,E4,B8,C8)</f>
        <v>0Niet-zandMaaien + grazenNNG</v>
      </c>
      <c r="C18">
        <f>E8</f>
        <v>245</v>
      </c>
      <c r="X18" t="s">
        <v>28</v>
      </c>
      <c r="Y18">
        <v>749</v>
      </c>
      <c r="Z18" s="2" t="s">
        <v>6</v>
      </c>
      <c r="AA18" t="s">
        <v>451</v>
      </c>
      <c r="AD18" t="s">
        <v>110</v>
      </c>
      <c r="AE18" t="s">
        <v>387</v>
      </c>
      <c r="AF18" t="s">
        <v>201</v>
      </c>
      <c r="AJ18" t="s">
        <v>579</v>
      </c>
      <c r="AK18" t="str">
        <f t="shared" si="0"/>
        <v>Melkkoeien7500 tot 7750</v>
      </c>
      <c r="AL18">
        <v>35.5</v>
      </c>
      <c r="AM18">
        <v>111</v>
      </c>
    </row>
    <row r="19" spans="2:39" x14ac:dyDescent="0.3">
      <c r="B19" t="str">
        <f>_xlfn.CONCAT(F3,F4,B5,C5)</f>
        <v>1ZandMaaienNG</v>
      </c>
      <c r="C19">
        <f>F5</f>
        <v>356</v>
      </c>
      <c r="X19" t="s">
        <v>29</v>
      </c>
      <c r="Y19">
        <v>955</v>
      </c>
      <c r="Z19" s="2" t="s">
        <v>6</v>
      </c>
      <c r="AA19" t="s">
        <v>421</v>
      </c>
      <c r="AD19" t="s">
        <v>122</v>
      </c>
      <c r="AE19" t="s">
        <v>388</v>
      </c>
      <c r="AF19" t="s">
        <v>203</v>
      </c>
      <c r="AJ19" t="s">
        <v>580</v>
      </c>
      <c r="AK19" t="str">
        <f t="shared" si="0"/>
        <v>Melkkoeien7750 tot 8000</v>
      </c>
      <c r="AL19">
        <v>36</v>
      </c>
      <c r="AM19">
        <v>113</v>
      </c>
    </row>
    <row r="20" spans="2:39" x14ac:dyDescent="0.3">
      <c r="B20" t="str">
        <f>_xlfn.CONCAT(F3,F4,B6,C6)</f>
        <v>1ZandMaaienNNG</v>
      </c>
      <c r="C20">
        <f>F6</f>
        <v>375</v>
      </c>
      <c r="X20" t="s">
        <v>30</v>
      </c>
      <c r="Y20">
        <v>9823</v>
      </c>
      <c r="Z20" t="s">
        <v>5</v>
      </c>
      <c r="AA20" t="s">
        <v>421</v>
      </c>
      <c r="AD20" t="s">
        <v>124</v>
      </c>
      <c r="AE20" t="s">
        <v>389</v>
      </c>
      <c r="AF20" t="s">
        <v>219</v>
      </c>
      <c r="AJ20" t="s">
        <v>581</v>
      </c>
      <c r="AK20" t="str">
        <f t="shared" si="0"/>
        <v>Melkkoeien8000 tot 8250</v>
      </c>
      <c r="AL20">
        <v>37</v>
      </c>
      <c r="AM20">
        <v>115</v>
      </c>
    </row>
    <row r="21" spans="2:39" x14ac:dyDescent="0.3">
      <c r="B21" t="str">
        <f>_xlfn.CONCAT(F3,F4,B7,C7)</f>
        <v>1ZandMaaien + grazenNG</v>
      </c>
      <c r="C21">
        <f>F7</f>
        <v>223</v>
      </c>
      <c r="X21" t="s">
        <v>31</v>
      </c>
      <c r="Y21">
        <v>9827</v>
      </c>
      <c r="Z21" t="s">
        <v>5</v>
      </c>
      <c r="AA21" t="s">
        <v>421</v>
      </c>
      <c r="AD21" t="s">
        <v>125</v>
      </c>
      <c r="AE21" t="s">
        <v>390</v>
      </c>
      <c r="AF21" t="s">
        <v>298</v>
      </c>
      <c r="AJ21" t="s">
        <v>582</v>
      </c>
      <c r="AK21" t="str">
        <f t="shared" si="0"/>
        <v>Melkkoeien8250 tot 8500</v>
      </c>
      <c r="AL21">
        <v>37.5</v>
      </c>
      <c r="AM21">
        <v>117</v>
      </c>
    </row>
    <row r="22" spans="2:39" x14ac:dyDescent="0.3">
      <c r="B22" t="str">
        <f>_xlfn.CONCAT(F3,F4,B8,C8)</f>
        <v>1ZandMaaien + grazenNNG</v>
      </c>
      <c r="C22">
        <f>F8</f>
        <v>235</v>
      </c>
      <c r="X22" t="s">
        <v>32</v>
      </c>
      <c r="Y22">
        <v>9828</v>
      </c>
      <c r="Z22" s="2" t="s">
        <v>6</v>
      </c>
      <c r="AA22" t="s">
        <v>421</v>
      </c>
      <c r="AD22" t="s">
        <v>127</v>
      </c>
      <c r="AE22" t="s">
        <v>391</v>
      </c>
      <c r="AF22" t="s">
        <v>305</v>
      </c>
      <c r="AJ22" t="s">
        <v>583</v>
      </c>
      <c r="AK22" t="str">
        <f t="shared" si="0"/>
        <v>Melkkoeien8500 tot 8750</v>
      </c>
      <c r="AL22">
        <v>38.5</v>
      </c>
      <c r="AM22">
        <v>119</v>
      </c>
    </row>
    <row r="23" spans="2:39" x14ac:dyDescent="0.3">
      <c r="B23" t="str">
        <f>_xlfn.CONCAT(G3,G4,B5,C5)</f>
        <v>1Niet-zandMaaienNG</v>
      </c>
      <c r="C23">
        <f>G5</f>
        <v>366</v>
      </c>
      <c r="X23" t="s">
        <v>33</v>
      </c>
      <c r="Y23">
        <v>9829</v>
      </c>
      <c r="Z23" t="s">
        <v>5</v>
      </c>
      <c r="AA23" t="s">
        <v>421</v>
      </c>
      <c r="AD23" t="s">
        <v>129</v>
      </c>
      <c r="AE23" t="s">
        <v>392</v>
      </c>
      <c r="AF23" t="s">
        <v>311</v>
      </c>
      <c r="AJ23" t="s">
        <v>584</v>
      </c>
      <c r="AK23" t="str">
        <f t="shared" si="0"/>
        <v>Melkkoeien8750 tot 9000</v>
      </c>
      <c r="AL23">
        <v>39</v>
      </c>
      <c r="AM23">
        <v>121</v>
      </c>
    </row>
    <row r="24" spans="2:39" x14ac:dyDescent="0.3">
      <c r="B24" t="str">
        <f>_xlfn.CONCAT(G3,G4,B6,C6)</f>
        <v>1Niet-zandMaaienNNG</v>
      </c>
      <c r="C24">
        <f>G6</f>
        <v>385</v>
      </c>
      <c r="AD24" t="s">
        <v>131</v>
      </c>
      <c r="AE24" t="s">
        <v>393</v>
      </c>
      <c r="AF24" t="s">
        <v>313</v>
      </c>
      <c r="AJ24" t="s">
        <v>585</v>
      </c>
      <c r="AK24" t="str">
        <f t="shared" si="0"/>
        <v>Melkkoeien9000 tot 9250</v>
      </c>
      <c r="AL24">
        <v>40</v>
      </c>
      <c r="AM24">
        <v>123</v>
      </c>
    </row>
    <row r="25" spans="2:39" x14ac:dyDescent="0.3">
      <c r="B25" t="str">
        <f>_xlfn.CONCAT(G3,G4,B7,C7)</f>
        <v>1Niet-zandMaaien + grazenNG</v>
      </c>
      <c r="C25">
        <f>G7</f>
        <v>233</v>
      </c>
      <c r="AD25" t="s">
        <v>133</v>
      </c>
      <c r="AE25" t="s">
        <v>394</v>
      </c>
      <c r="AF25" t="s">
        <v>319</v>
      </c>
      <c r="AJ25" t="s">
        <v>589</v>
      </c>
      <c r="AK25" t="str">
        <f t="shared" si="0"/>
        <v>Melkkoeien9250 tot 9500</v>
      </c>
      <c r="AL25">
        <v>40.5</v>
      </c>
      <c r="AM25">
        <v>125</v>
      </c>
    </row>
    <row r="26" spans="2:39" x14ac:dyDescent="0.3">
      <c r="B26" t="str">
        <f>_xlfn.CONCAT(G3,G4,B8,C8)</f>
        <v>1Niet-zandMaaien + grazenNNG</v>
      </c>
      <c r="C26">
        <f>G8</f>
        <v>245</v>
      </c>
      <c r="AD26" t="s">
        <v>137</v>
      </c>
      <c r="AE26" t="s">
        <v>395</v>
      </c>
      <c r="AF26" t="s">
        <v>321</v>
      </c>
      <c r="AJ26" t="s">
        <v>586</v>
      </c>
      <c r="AK26" t="str">
        <f t="shared" si="0"/>
        <v>Melkkoeien9500 tot 9750</v>
      </c>
      <c r="AL26">
        <v>41.5</v>
      </c>
      <c r="AM26">
        <v>127</v>
      </c>
    </row>
    <row r="27" spans="2:39" x14ac:dyDescent="0.3">
      <c r="B27" t="str">
        <f>_xlfn.CONCAT(H3,H4,B5,C5)</f>
        <v>2ZandMaaienNG</v>
      </c>
      <c r="C27">
        <f>H5</f>
        <v>300</v>
      </c>
      <c r="AD27" t="s">
        <v>141</v>
      </c>
      <c r="AE27" t="s">
        <v>396</v>
      </c>
      <c r="AF27" t="s">
        <v>323</v>
      </c>
      <c r="AJ27" t="s">
        <v>587</v>
      </c>
      <c r="AK27" t="str">
        <f t="shared" si="0"/>
        <v>Melkkoeien9750 tot 10000</v>
      </c>
      <c r="AL27">
        <v>42</v>
      </c>
      <c r="AM27">
        <v>129</v>
      </c>
    </row>
    <row r="28" spans="2:39" x14ac:dyDescent="0.3">
      <c r="B28" t="str">
        <f>_xlfn.CONCAT(H3,H4,B6,C6)</f>
        <v>2ZandMaaienNNG</v>
      </c>
      <c r="C28">
        <f>H6</f>
        <v>338</v>
      </c>
      <c r="AD28" t="s">
        <v>151</v>
      </c>
      <c r="AE28" t="s">
        <v>397</v>
      </c>
      <c r="AF28" t="s">
        <v>325</v>
      </c>
      <c r="AJ28" t="s">
        <v>588</v>
      </c>
      <c r="AK28" t="str">
        <f t="shared" si="0"/>
        <v>MelkkoeienHoger dan 10000</v>
      </c>
      <c r="AL28">
        <v>43</v>
      </c>
      <c r="AM28">
        <v>131</v>
      </c>
    </row>
    <row r="29" spans="2:39" x14ac:dyDescent="0.3">
      <c r="B29" t="str">
        <f>_xlfn.CONCAT(H3,H4,B7,C7)</f>
        <v>2ZandMaaien + grazenNG</v>
      </c>
      <c r="C29">
        <f>H7</f>
        <v>188</v>
      </c>
      <c r="AD29" t="s">
        <v>153</v>
      </c>
      <c r="AE29" t="s">
        <v>398</v>
      </c>
      <c r="AF29" t="s">
        <v>327</v>
      </c>
      <c r="AK29" t="s">
        <v>559</v>
      </c>
      <c r="AL29">
        <v>10</v>
      </c>
      <c r="AM29">
        <v>33</v>
      </c>
    </row>
    <row r="30" spans="2:39" x14ac:dyDescent="0.3">
      <c r="B30" t="str">
        <f>_xlfn.CONCAT(H3,H4,B8,C8)</f>
        <v>2ZandMaaien + grazenNNG</v>
      </c>
      <c r="C30">
        <f>H8</f>
        <v>212</v>
      </c>
      <c r="AD30" t="s">
        <v>155</v>
      </c>
      <c r="AF30" t="s">
        <v>329</v>
      </c>
      <c r="AK30" t="s">
        <v>560</v>
      </c>
      <c r="AL30">
        <v>19.2</v>
      </c>
      <c r="AM30">
        <v>58</v>
      </c>
    </row>
    <row r="31" spans="2:39" x14ac:dyDescent="0.3">
      <c r="B31" t="str">
        <f>_xlfn.CONCAT(I3,I4,B5,C5)</f>
        <v>2Niet-zandMaaienNG</v>
      </c>
      <c r="C31">
        <f>I5</f>
        <v>308</v>
      </c>
      <c r="AD31" t="s">
        <v>157</v>
      </c>
      <c r="AF31" t="s">
        <v>331</v>
      </c>
      <c r="AK31" t="s">
        <v>561</v>
      </c>
      <c r="AL31">
        <v>25</v>
      </c>
      <c r="AM31">
        <v>65</v>
      </c>
    </row>
    <row r="32" spans="2:39" x14ac:dyDescent="0.3">
      <c r="B32" t="str">
        <f>_xlfn.CONCAT(I3,I4,B6,C6)</f>
        <v>2Niet-zandMaaienNNG</v>
      </c>
      <c r="C32">
        <f>I6</f>
        <v>347</v>
      </c>
      <c r="AD32" t="s">
        <v>159</v>
      </c>
      <c r="AF32" t="s">
        <v>333</v>
      </c>
      <c r="AK32" t="s">
        <v>562</v>
      </c>
      <c r="AL32">
        <v>3.6</v>
      </c>
      <c r="AM32">
        <v>10.5</v>
      </c>
    </row>
    <row r="33" spans="2:39" x14ac:dyDescent="0.3">
      <c r="B33" t="str">
        <f>_xlfn.CONCAT(I3,I4,B7,C7)</f>
        <v>2Niet-zandMaaien + grazenNG</v>
      </c>
      <c r="C33">
        <f>I7</f>
        <v>196</v>
      </c>
      <c r="AD33" t="s">
        <v>161</v>
      </c>
      <c r="AF33" t="s">
        <v>335</v>
      </c>
      <c r="AK33" t="s">
        <v>563</v>
      </c>
      <c r="AL33">
        <v>7</v>
      </c>
      <c r="AM33">
        <v>22.3</v>
      </c>
    </row>
    <row r="34" spans="2:39" x14ac:dyDescent="0.3">
      <c r="B34" t="str">
        <f>_xlfn.CONCAT(I3,I4,B8,C8)</f>
        <v>2Niet-zandMaaien + grazenNNG</v>
      </c>
      <c r="C34">
        <f>I8</f>
        <v>221</v>
      </c>
      <c r="AD34" t="s">
        <v>163</v>
      </c>
      <c r="AF34" t="s">
        <v>337</v>
      </c>
      <c r="AK34" t="s">
        <v>564</v>
      </c>
      <c r="AL34">
        <v>19.2</v>
      </c>
      <c r="AM34">
        <v>58</v>
      </c>
    </row>
    <row r="35" spans="2:39" x14ac:dyDescent="0.3">
      <c r="B35" t="str">
        <f>_xlfn.CONCAT(J3,J4,B5,C5)</f>
        <v>3ZandMaaienNG</v>
      </c>
      <c r="C35">
        <f>J5</f>
        <v>263</v>
      </c>
      <c r="AD35" t="s">
        <v>165</v>
      </c>
      <c r="AF35" t="s">
        <v>339</v>
      </c>
      <c r="AK35" t="s">
        <v>556</v>
      </c>
      <c r="AL35">
        <v>29.5</v>
      </c>
      <c r="AM35">
        <v>77</v>
      </c>
    </row>
    <row r="36" spans="2:39" x14ac:dyDescent="0.3">
      <c r="B36" t="str">
        <f>_xlfn.CONCAT(J3,J4,B6,C6)</f>
        <v>3ZandMaaienNNG</v>
      </c>
      <c r="C36">
        <f>J6</f>
        <v>300</v>
      </c>
      <c r="AD36" t="s">
        <v>168</v>
      </c>
      <c r="AF36" t="s">
        <v>341</v>
      </c>
    </row>
    <row r="37" spans="2:39" x14ac:dyDescent="0.3">
      <c r="B37" t="str">
        <f>_xlfn.CONCAT(J3,J4,B7,C7)</f>
        <v>3ZandMaaien + grazenNG</v>
      </c>
      <c r="C37">
        <f>J7</f>
        <v>165</v>
      </c>
      <c r="AD37" t="s">
        <v>170</v>
      </c>
      <c r="AF37" t="s">
        <v>343</v>
      </c>
    </row>
    <row r="38" spans="2:39" x14ac:dyDescent="0.3">
      <c r="B38" t="str">
        <f>_xlfn.CONCAT(J3,J4,B8,C8)</f>
        <v>3ZandMaaien + grazenNNG</v>
      </c>
      <c r="C38">
        <f>J8</f>
        <v>188</v>
      </c>
      <c r="AD38" t="s">
        <v>172</v>
      </c>
      <c r="AF38" t="s">
        <v>345</v>
      </c>
    </row>
    <row r="39" spans="2:39" x14ac:dyDescent="0.3">
      <c r="B39" t="str">
        <f>_xlfn.CONCAT(K3,K4,B5,C5)</f>
        <v>3Niet-zandMaaienNG</v>
      </c>
      <c r="C39">
        <f>K5</f>
        <v>270</v>
      </c>
      <c r="AD39" t="s">
        <v>174</v>
      </c>
    </row>
    <row r="40" spans="2:39" x14ac:dyDescent="0.3">
      <c r="B40" t="str">
        <f>_xlfn.CONCAT(K3,K4,B6,C6)</f>
        <v>3Niet-zandMaaienNNG</v>
      </c>
      <c r="C40">
        <f>K6</f>
        <v>308</v>
      </c>
      <c r="AD40" t="s">
        <v>176</v>
      </c>
    </row>
    <row r="41" spans="2:39" x14ac:dyDescent="0.3">
      <c r="B41" t="str">
        <f>_xlfn.CONCAT(K3,K4,B7,C7)</f>
        <v>3Niet-zandMaaien + grazenNG</v>
      </c>
      <c r="C41">
        <f>K7</f>
        <v>172</v>
      </c>
      <c r="AD41" t="s">
        <v>178</v>
      </c>
    </row>
    <row r="42" spans="2:39" x14ac:dyDescent="0.3">
      <c r="B42" t="str">
        <f>_xlfn.CONCAT(K3,K4,B8,C8)</f>
        <v>3Niet-zandMaaien + grazenNNG</v>
      </c>
      <c r="C42">
        <f>K8</f>
        <v>196</v>
      </c>
      <c r="AD42" t="s">
        <v>182</v>
      </c>
    </row>
    <row r="43" spans="2:39" x14ac:dyDescent="0.3">
      <c r="AD43" t="s">
        <v>184</v>
      </c>
    </row>
    <row r="44" spans="2:39" x14ac:dyDescent="0.3">
      <c r="AD44" t="s">
        <v>187</v>
      </c>
    </row>
    <row r="45" spans="2:39" x14ac:dyDescent="0.3">
      <c r="AD45" t="s">
        <v>189</v>
      </c>
    </row>
    <row r="46" spans="2:39" x14ac:dyDescent="0.3">
      <c r="AD46" t="s">
        <v>190</v>
      </c>
    </row>
    <row r="47" spans="2:39" x14ac:dyDescent="0.3">
      <c r="AD47" t="s">
        <v>191</v>
      </c>
    </row>
    <row r="48" spans="2:39" x14ac:dyDescent="0.3">
      <c r="AD48" t="s">
        <v>193</v>
      </c>
    </row>
    <row r="49" spans="30:30" x14ac:dyDescent="0.3">
      <c r="AD49" t="s">
        <v>195</v>
      </c>
    </row>
    <row r="50" spans="30:30" x14ac:dyDescent="0.3">
      <c r="AD50" t="s">
        <v>197</v>
      </c>
    </row>
    <row r="51" spans="30:30" x14ac:dyDescent="0.3">
      <c r="AD51" t="s">
        <v>199</v>
      </c>
    </row>
    <row r="52" spans="30:30" x14ac:dyDescent="0.3">
      <c r="AD52" t="s">
        <v>206</v>
      </c>
    </row>
    <row r="53" spans="30:30" x14ac:dyDescent="0.3">
      <c r="AD53" t="s">
        <v>209</v>
      </c>
    </row>
    <row r="54" spans="30:30" x14ac:dyDescent="0.3">
      <c r="AD54" t="s">
        <v>211</v>
      </c>
    </row>
    <row r="55" spans="30:30" x14ac:dyDescent="0.3">
      <c r="AD55" t="s">
        <v>213</v>
      </c>
    </row>
    <row r="56" spans="30:30" x14ac:dyDescent="0.3">
      <c r="AD56" t="s">
        <v>215</v>
      </c>
    </row>
    <row r="57" spans="30:30" x14ac:dyDescent="0.3">
      <c r="AD57" t="s">
        <v>217</v>
      </c>
    </row>
    <row r="58" spans="30:30" x14ac:dyDescent="0.3">
      <c r="AD58" t="s">
        <v>222</v>
      </c>
    </row>
    <row r="59" spans="30:30" x14ac:dyDescent="0.3">
      <c r="AD59" t="s">
        <v>223</v>
      </c>
    </row>
    <row r="60" spans="30:30" x14ac:dyDescent="0.3">
      <c r="AD60" t="s">
        <v>224</v>
      </c>
    </row>
    <row r="61" spans="30:30" x14ac:dyDescent="0.3">
      <c r="AD61" t="s">
        <v>226</v>
      </c>
    </row>
    <row r="62" spans="30:30" x14ac:dyDescent="0.3">
      <c r="AD62" t="s">
        <v>228</v>
      </c>
    </row>
    <row r="63" spans="30:30" x14ac:dyDescent="0.3">
      <c r="AD63" t="s">
        <v>230</v>
      </c>
    </row>
    <row r="64" spans="30:30" x14ac:dyDescent="0.3">
      <c r="AD64" t="s">
        <v>232</v>
      </c>
    </row>
    <row r="65" spans="30:30" x14ac:dyDescent="0.3">
      <c r="AD65" t="s">
        <v>234</v>
      </c>
    </row>
    <row r="66" spans="30:30" x14ac:dyDescent="0.3">
      <c r="AD66" t="s">
        <v>236</v>
      </c>
    </row>
    <row r="67" spans="30:30" x14ac:dyDescent="0.3">
      <c r="AD67" t="s">
        <v>238</v>
      </c>
    </row>
    <row r="68" spans="30:30" x14ac:dyDescent="0.3">
      <c r="AD68" t="s">
        <v>240</v>
      </c>
    </row>
    <row r="69" spans="30:30" x14ac:dyDescent="0.3">
      <c r="AD69" t="s">
        <v>242</v>
      </c>
    </row>
    <row r="70" spans="30:30" x14ac:dyDescent="0.3">
      <c r="AD70" t="s">
        <v>244</v>
      </c>
    </row>
    <row r="71" spans="30:30" x14ac:dyDescent="0.3">
      <c r="AD71" t="s">
        <v>246</v>
      </c>
    </row>
    <row r="72" spans="30:30" x14ac:dyDescent="0.3">
      <c r="AD72" t="s">
        <v>248</v>
      </c>
    </row>
    <row r="73" spans="30:30" x14ac:dyDescent="0.3">
      <c r="AD73" t="s">
        <v>250</v>
      </c>
    </row>
    <row r="74" spans="30:30" x14ac:dyDescent="0.3">
      <c r="AD74" t="s">
        <v>252</v>
      </c>
    </row>
    <row r="75" spans="30:30" x14ac:dyDescent="0.3">
      <c r="AD75" t="s">
        <v>254</v>
      </c>
    </row>
    <row r="76" spans="30:30" x14ac:dyDescent="0.3">
      <c r="AD76" t="s">
        <v>255</v>
      </c>
    </row>
    <row r="77" spans="30:30" x14ac:dyDescent="0.3">
      <c r="AD77" t="s">
        <v>256</v>
      </c>
    </row>
    <row r="78" spans="30:30" x14ac:dyDescent="0.3">
      <c r="AD78" t="s">
        <v>258</v>
      </c>
    </row>
    <row r="79" spans="30:30" x14ac:dyDescent="0.3">
      <c r="AD79" t="s">
        <v>260</v>
      </c>
    </row>
    <row r="80" spans="30:30" x14ac:dyDescent="0.3">
      <c r="AD80" t="s">
        <v>262</v>
      </c>
    </row>
    <row r="81" spans="30:30" x14ac:dyDescent="0.3">
      <c r="AD81" t="s">
        <v>264</v>
      </c>
    </row>
    <row r="82" spans="30:30" x14ac:dyDescent="0.3">
      <c r="AD82" t="s">
        <v>266</v>
      </c>
    </row>
    <row r="83" spans="30:30" x14ac:dyDescent="0.3">
      <c r="AD83" t="s">
        <v>268</v>
      </c>
    </row>
    <row r="84" spans="30:30" x14ac:dyDescent="0.3">
      <c r="AD84" t="s">
        <v>270</v>
      </c>
    </row>
    <row r="85" spans="30:30" x14ac:dyDescent="0.3">
      <c r="AD85" t="s">
        <v>272</v>
      </c>
    </row>
    <row r="86" spans="30:30" x14ac:dyDescent="0.3">
      <c r="AD86" t="s">
        <v>273</v>
      </c>
    </row>
    <row r="87" spans="30:30" x14ac:dyDescent="0.3">
      <c r="AD87" t="s">
        <v>274</v>
      </c>
    </row>
    <row r="88" spans="30:30" x14ac:dyDescent="0.3">
      <c r="AD88" t="s">
        <v>276</v>
      </c>
    </row>
    <row r="89" spans="30:30" x14ac:dyDescent="0.3">
      <c r="AD89" t="s">
        <v>278</v>
      </c>
    </row>
    <row r="90" spans="30:30" x14ac:dyDescent="0.3">
      <c r="AD90" t="s">
        <v>280</v>
      </c>
    </row>
    <row r="91" spans="30:30" x14ac:dyDescent="0.3">
      <c r="AD91" t="s">
        <v>282</v>
      </c>
    </row>
    <row r="92" spans="30:30" x14ac:dyDescent="0.3">
      <c r="AD92" t="s">
        <v>284</v>
      </c>
    </row>
    <row r="93" spans="30:30" x14ac:dyDescent="0.3">
      <c r="AD93" t="s">
        <v>285</v>
      </c>
    </row>
    <row r="94" spans="30:30" x14ac:dyDescent="0.3">
      <c r="AD94" t="s">
        <v>287</v>
      </c>
    </row>
    <row r="95" spans="30:30" x14ac:dyDescent="0.3">
      <c r="AD95" t="s">
        <v>289</v>
      </c>
    </row>
    <row r="96" spans="30:30" x14ac:dyDescent="0.3">
      <c r="AD96" t="s">
        <v>290</v>
      </c>
    </row>
    <row r="97" spans="30:30" x14ac:dyDescent="0.3">
      <c r="AD97" t="s">
        <v>291</v>
      </c>
    </row>
    <row r="98" spans="30:30" x14ac:dyDescent="0.3">
      <c r="AD98" t="s">
        <v>294</v>
      </c>
    </row>
    <row r="99" spans="30:30" x14ac:dyDescent="0.3">
      <c r="AD99" t="s">
        <v>296</v>
      </c>
    </row>
    <row r="100" spans="30:30" x14ac:dyDescent="0.3">
      <c r="AD100" t="s">
        <v>300</v>
      </c>
    </row>
    <row r="101" spans="30:30" x14ac:dyDescent="0.3">
      <c r="AD101" t="s">
        <v>302</v>
      </c>
    </row>
    <row r="102" spans="30:30" x14ac:dyDescent="0.3">
      <c r="AD102" t="s">
        <v>303</v>
      </c>
    </row>
    <row r="103" spans="30:30" x14ac:dyDescent="0.3">
      <c r="AD103" t="s">
        <v>307</v>
      </c>
    </row>
    <row r="104" spans="30:30" x14ac:dyDescent="0.3">
      <c r="AD104" t="s">
        <v>309</v>
      </c>
    </row>
    <row r="105" spans="30:30" x14ac:dyDescent="0.3">
      <c r="AD105" t="s">
        <v>315</v>
      </c>
    </row>
    <row r="106" spans="30:30" x14ac:dyDescent="0.3">
      <c r="AD106" t="s">
        <v>316</v>
      </c>
    </row>
    <row r="107" spans="30:30" x14ac:dyDescent="0.3">
      <c r="AD107" t="s">
        <v>347</v>
      </c>
    </row>
    <row r="108" spans="30:30" x14ac:dyDescent="0.3">
      <c r="AD108" t="s">
        <v>349</v>
      </c>
    </row>
    <row r="109" spans="30:30" x14ac:dyDescent="0.3">
      <c r="AD109" t="s">
        <v>351</v>
      </c>
    </row>
    <row r="110" spans="30:30" x14ac:dyDescent="0.3">
      <c r="AD110" t="s">
        <v>353</v>
      </c>
    </row>
    <row r="111" spans="30:30" x14ac:dyDescent="0.3">
      <c r="AD111" t="s">
        <v>355</v>
      </c>
    </row>
    <row r="112" spans="30:30" x14ac:dyDescent="0.3">
      <c r="AD112" t="s">
        <v>356</v>
      </c>
    </row>
    <row r="113" spans="30:30" x14ac:dyDescent="0.3">
      <c r="AD113" t="s">
        <v>357</v>
      </c>
    </row>
    <row r="114" spans="30:30" x14ac:dyDescent="0.3">
      <c r="AD114" t="s">
        <v>359</v>
      </c>
    </row>
    <row r="115" spans="30:30" x14ac:dyDescent="0.3">
      <c r="AD115" t="s">
        <v>361</v>
      </c>
    </row>
    <row r="116" spans="30:30" x14ac:dyDescent="0.3">
      <c r="AD116" t="s">
        <v>362</v>
      </c>
    </row>
    <row r="117" spans="30:30" x14ac:dyDescent="0.3">
      <c r="AD117" t="s">
        <v>363</v>
      </c>
    </row>
    <row r="118" spans="30:30" x14ac:dyDescent="0.3">
      <c r="AD118" t="s">
        <v>365</v>
      </c>
    </row>
  </sheetData>
  <sheetProtection algorithmName="SHA-512" hashValue="Y1LSQJWsbrmvzAPJ/tF5R+N8D8C7y0gfjc3BtC0Y9FP25eL0aQ+6B7boWLWUlzTaIpclfFhwn4xgIueTAtn6MA==" saltValue="mTkMgl7Z0bV2WCbJyv1k7Q==" spinCount="100000" sheet="1" objects="1" scenarios="1" selectLockedCells="1"/>
  <mergeCells count="6">
    <mergeCell ref="AC1:AG1"/>
    <mergeCell ref="X1:Z1"/>
    <mergeCell ref="D2:K2"/>
    <mergeCell ref="B1:L1"/>
    <mergeCell ref="S2:V2"/>
    <mergeCell ref="R1:V1"/>
  </mergeCells>
  <phoneticPr fontId="1" type="noConversion"/>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28E9-7410-4752-896A-D0D4428BD13D}">
  <dimension ref="A1:AJ184"/>
  <sheetViews>
    <sheetView workbookViewId="0">
      <pane ySplit="1" topLeftCell="A99" activePane="bottomLeft" state="frozen"/>
      <selection pane="bottomLeft" activeCell="AJ1" sqref="AG1:AJ1048576"/>
    </sheetView>
  </sheetViews>
  <sheetFormatPr defaultColWidth="8.88671875" defaultRowHeight="14.4" x14ac:dyDescent="0.3"/>
  <cols>
    <col min="1" max="1" width="35.109375" style="21" customWidth="1"/>
    <col min="2" max="2" width="18.44140625" style="21" customWidth="1"/>
    <col min="3" max="3" width="16" style="21" customWidth="1"/>
    <col min="4" max="4" width="8.88671875" style="21"/>
    <col min="5" max="5" width="15.88671875" style="21" customWidth="1"/>
    <col min="6" max="32" width="8.88671875" style="21"/>
    <col min="33" max="36" width="0" style="21" hidden="1" customWidth="1"/>
    <col min="37" max="16384" width="8.88671875" style="21"/>
  </cols>
  <sheetData>
    <row r="1" spans="1:36" s="11" customFormat="1" ht="63" customHeight="1" x14ac:dyDescent="0.3">
      <c r="A1" s="8" t="s">
        <v>47</v>
      </c>
      <c r="B1" s="9"/>
      <c r="C1" s="10"/>
      <c r="D1" s="10"/>
      <c r="E1" s="231" t="s">
        <v>48</v>
      </c>
      <c r="F1" s="231"/>
      <c r="G1" s="231"/>
      <c r="H1" s="231"/>
      <c r="I1" s="231"/>
      <c r="J1" s="230" t="s">
        <v>49</v>
      </c>
      <c r="K1" s="230"/>
      <c r="L1" s="230"/>
      <c r="M1" s="230"/>
      <c r="N1" s="230" t="s">
        <v>366</v>
      </c>
      <c r="O1" s="230"/>
      <c r="P1" s="230"/>
      <c r="Q1" s="230" t="s">
        <v>367</v>
      </c>
      <c r="R1" s="230"/>
      <c r="S1" s="230"/>
      <c r="T1" s="230" t="s">
        <v>50</v>
      </c>
      <c r="U1" s="230"/>
      <c r="V1" s="230"/>
      <c r="W1" s="230" t="s">
        <v>51</v>
      </c>
      <c r="X1" s="230"/>
      <c r="Y1" s="230"/>
      <c r="Z1" s="230" t="s">
        <v>368</v>
      </c>
      <c r="AA1" s="230"/>
      <c r="AB1" s="230"/>
      <c r="AC1" s="230" t="s">
        <v>369</v>
      </c>
      <c r="AD1" s="230"/>
      <c r="AE1" s="230"/>
      <c r="AF1" s="8" t="s">
        <v>52</v>
      </c>
      <c r="AG1" s="11" t="s">
        <v>487</v>
      </c>
      <c r="AH1" s="11" t="s">
        <v>488</v>
      </c>
      <c r="AI1" s="11" t="s">
        <v>489</v>
      </c>
      <c r="AJ1" s="11" t="s">
        <v>490</v>
      </c>
    </row>
    <row r="2" spans="1:36" s="15" customFormat="1" ht="60" customHeight="1" x14ac:dyDescent="0.3">
      <c r="A2" s="5" t="s">
        <v>41</v>
      </c>
      <c r="B2" s="5" t="s">
        <v>53</v>
      </c>
      <c r="C2" s="5" t="s">
        <v>54</v>
      </c>
      <c r="D2" s="5" t="s">
        <v>55</v>
      </c>
      <c r="E2" s="5" t="s">
        <v>56</v>
      </c>
      <c r="F2" s="5" t="s">
        <v>57</v>
      </c>
      <c r="G2" s="12" t="s">
        <v>58</v>
      </c>
      <c r="H2" s="12" t="s">
        <v>59</v>
      </c>
      <c r="I2" s="12" t="s">
        <v>60</v>
      </c>
      <c r="J2" s="13" t="s">
        <v>61</v>
      </c>
      <c r="K2" s="14" t="s">
        <v>0</v>
      </c>
      <c r="L2" s="13" t="s">
        <v>62</v>
      </c>
      <c r="M2" s="14" t="s">
        <v>63</v>
      </c>
      <c r="N2" s="13" t="s">
        <v>61</v>
      </c>
      <c r="O2" s="14" t="s">
        <v>0</v>
      </c>
      <c r="P2" s="14" t="s">
        <v>64</v>
      </c>
      <c r="Q2" s="13" t="s">
        <v>61</v>
      </c>
      <c r="R2" s="14" t="s">
        <v>0</v>
      </c>
      <c r="S2" s="14" t="s">
        <v>64</v>
      </c>
      <c r="T2" s="13" t="s">
        <v>61</v>
      </c>
      <c r="U2" s="14" t="s">
        <v>0</v>
      </c>
      <c r="V2" s="14" t="s">
        <v>64</v>
      </c>
      <c r="W2" s="13" t="s">
        <v>61</v>
      </c>
      <c r="X2" s="14" t="s">
        <v>0</v>
      </c>
      <c r="Y2" s="14" t="s">
        <v>64</v>
      </c>
      <c r="Z2" s="13" t="s">
        <v>61</v>
      </c>
      <c r="AA2" s="14" t="s">
        <v>0</v>
      </c>
      <c r="AB2" s="14" t="s">
        <v>64</v>
      </c>
      <c r="AC2" s="13" t="s">
        <v>61</v>
      </c>
      <c r="AD2" s="14" t="s">
        <v>0</v>
      </c>
      <c r="AE2" s="14" t="s">
        <v>64</v>
      </c>
      <c r="AF2" s="13" t="s">
        <v>61</v>
      </c>
    </row>
    <row r="3" spans="1:36" s="11" customFormat="1" ht="28.8" x14ac:dyDescent="0.3">
      <c r="A3" s="6" t="s">
        <v>42</v>
      </c>
      <c r="B3" s="16" t="s">
        <v>65</v>
      </c>
      <c r="C3" s="10" t="s">
        <v>66</v>
      </c>
      <c r="D3" s="10">
        <v>2</v>
      </c>
      <c r="E3" s="17" t="s">
        <v>67</v>
      </c>
      <c r="F3" s="16">
        <v>22</v>
      </c>
      <c r="G3" s="18">
        <v>0.5</v>
      </c>
      <c r="H3" s="18" t="s">
        <v>68</v>
      </c>
      <c r="I3" s="18" t="s">
        <v>69</v>
      </c>
      <c r="J3" s="19">
        <v>17.399999999999999</v>
      </c>
      <c r="K3" s="10">
        <v>30</v>
      </c>
      <c r="L3" s="19">
        <v>5.22</v>
      </c>
      <c r="M3" s="19">
        <v>17.399999999999999</v>
      </c>
      <c r="N3" s="20">
        <v>19.3</v>
      </c>
      <c r="O3" s="10">
        <v>100</v>
      </c>
      <c r="P3" s="20">
        <v>19.3</v>
      </c>
      <c r="Q3" s="20">
        <v>0</v>
      </c>
      <c r="R3" s="19">
        <v>100</v>
      </c>
      <c r="S3" s="20">
        <v>0</v>
      </c>
      <c r="T3" s="10">
        <v>0</v>
      </c>
      <c r="U3" s="19">
        <v>100</v>
      </c>
      <c r="V3" s="20">
        <v>0</v>
      </c>
      <c r="W3" s="10">
        <v>0</v>
      </c>
      <c r="X3" s="19">
        <v>100</v>
      </c>
      <c r="Y3" s="20">
        <v>0</v>
      </c>
      <c r="Z3" s="10">
        <v>0</v>
      </c>
      <c r="AA3" s="19">
        <v>100</v>
      </c>
      <c r="AB3" s="20">
        <v>0</v>
      </c>
      <c r="AC3" s="20">
        <v>0</v>
      </c>
      <c r="AD3" s="19">
        <v>100</v>
      </c>
      <c r="AE3" s="20">
        <v>0</v>
      </c>
      <c r="AF3" s="10"/>
      <c r="AG3" s="11">
        <v>100</v>
      </c>
    </row>
    <row r="4" spans="1:36" s="11" customFormat="1" ht="15" customHeight="1" x14ac:dyDescent="0.3">
      <c r="A4" s="7" t="s">
        <v>43</v>
      </c>
      <c r="B4" s="7" t="s">
        <v>70</v>
      </c>
      <c r="C4" s="7" t="s">
        <v>71</v>
      </c>
      <c r="D4" s="7">
        <v>2</v>
      </c>
      <c r="E4" s="21" t="s">
        <v>72</v>
      </c>
      <c r="F4" s="7">
        <v>169</v>
      </c>
      <c r="G4" s="7">
        <v>0.7</v>
      </c>
      <c r="H4" s="7" t="s">
        <v>68</v>
      </c>
      <c r="I4" s="7" t="s">
        <v>69</v>
      </c>
      <c r="J4" s="7" t="s">
        <v>73</v>
      </c>
      <c r="K4" s="7">
        <v>60</v>
      </c>
      <c r="L4" s="7" t="s">
        <v>73</v>
      </c>
      <c r="M4" s="7" t="s">
        <v>73</v>
      </c>
      <c r="N4" s="7" t="s">
        <v>73</v>
      </c>
      <c r="O4" s="7">
        <v>100</v>
      </c>
      <c r="P4" s="7" t="s">
        <v>73</v>
      </c>
      <c r="Q4" s="10"/>
      <c r="R4" s="10"/>
      <c r="S4" s="10"/>
      <c r="T4" s="10"/>
      <c r="U4" s="10"/>
      <c r="V4" s="10"/>
      <c r="W4" s="10"/>
      <c r="X4" s="10"/>
      <c r="Y4" s="10"/>
      <c r="Z4" s="10"/>
      <c r="AA4" s="10"/>
      <c r="AB4" s="10"/>
      <c r="AC4" s="10"/>
      <c r="AD4" s="10"/>
      <c r="AE4" s="10"/>
      <c r="AF4" s="10"/>
      <c r="AG4" s="11">
        <v>100</v>
      </c>
    </row>
    <row r="5" spans="1:36" s="11" customFormat="1" x14ac:dyDescent="0.3">
      <c r="A5" s="7" t="s">
        <v>44</v>
      </c>
      <c r="B5" s="7" t="s">
        <v>70</v>
      </c>
      <c r="C5" s="7" t="s">
        <v>71</v>
      </c>
      <c r="D5" s="7">
        <v>2</v>
      </c>
      <c r="E5" s="21" t="s">
        <v>74</v>
      </c>
      <c r="F5" s="7">
        <v>168</v>
      </c>
      <c r="G5" s="7">
        <v>0.7</v>
      </c>
      <c r="H5" s="7" t="s">
        <v>68</v>
      </c>
      <c r="I5" s="7" t="s">
        <v>69</v>
      </c>
      <c r="J5" s="7" t="s">
        <v>73</v>
      </c>
      <c r="K5" s="7">
        <v>60</v>
      </c>
      <c r="L5" s="7" t="s">
        <v>73</v>
      </c>
      <c r="M5" s="7" t="s">
        <v>73</v>
      </c>
      <c r="N5" s="7" t="s">
        <v>73</v>
      </c>
      <c r="O5" s="7">
        <v>100</v>
      </c>
      <c r="P5" s="7" t="s">
        <v>73</v>
      </c>
      <c r="Q5" s="10"/>
      <c r="R5" s="10"/>
      <c r="S5" s="10"/>
      <c r="T5" s="10"/>
      <c r="U5" s="10"/>
      <c r="V5" s="10"/>
      <c r="W5" s="10"/>
      <c r="X5" s="10"/>
      <c r="Y5" s="10"/>
      <c r="Z5" s="10"/>
      <c r="AA5" s="10"/>
      <c r="AB5" s="10"/>
      <c r="AC5" s="10"/>
      <c r="AD5" s="10"/>
      <c r="AE5" s="10"/>
      <c r="AF5" s="10"/>
      <c r="AG5" s="11">
        <v>100</v>
      </c>
    </row>
    <row r="6" spans="1:36" s="11" customFormat="1" ht="15" customHeight="1" x14ac:dyDescent="0.3">
      <c r="A6" s="7" t="s">
        <v>45</v>
      </c>
      <c r="B6" s="7" t="s">
        <v>70</v>
      </c>
      <c r="C6" s="7" t="s">
        <v>71</v>
      </c>
      <c r="D6" s="7">
        <v>2</v>
      </c>
      <c r="E6" s="21" t="s">
        <v>75</v>
      </c>
      <c r="F6" s="7">
        <v>171</v>
      </c>
      <c r="G6" s="7">
        <v>0.7</v>
      </c>
      <c r="H6" s="7" t="s">
        <v>68</v>
      </c>
      <c r="I6" s="7" t="s">
        <v>69</v>
      </c>
      <c r="J6" s="7" t="s">
        <v>73</v>
      </c>
      <c r="K6" s="7">
        <v>60</v>
      </c>
      <c r="L6" s="7" t="s">
        <v>73</v>
      </c>
      <c r="M6" s="7" t="s">
        <v>73</v>
      </c>
      <c r="N6" s="7" t="s">
        <v>73</v>
      </c>
      <c r="O6" s="7">
        <v>100</v>
      </c>
      <c r="P6" s="7" t="s">
        <v>73</v>
      </c>
      <c r="Q6" s="10"/>
      <c r="R6" s="10"/>
      <c r="S6" s="10"/>
      <c r="T6" s="10"/>
      <c r="U6" s="10"/>
      <c r="V6" s="10"/>
      <c r="W6" s="10"/>
      <c r="X6" s="10"/>
      <c r="Y6" s="10"/>
      <c r="Z6" s="10"/>
      <c r="AA6" s="10"/>
      <c r="AB6" s="10"/>
      <c r="AC6" s="10"/>
      <c r="AD6" s="10"/>
      <c r="AE6" s="10"/>
      <c r="AF6" s="10"/>
      <c r="AG6" s="11">
        <v>100</v>
      </c>
    </row>
    <row r="7" spans="1:36" s="11" customFormat="1" ht="15" customHeight="1" x14ac:dyDescent="0.3">
      <c r="A7" s="7" t="s">
        <v>46</v>
      </c>
      <c r="B7" s="7" t="s">
        <v>70</v>
      </c>
      <c r="C7" s="7" t="s">
        <v>71</v>
      </c>
      <c r="D7" s="7">
        <v>2</v>
      </c>
      <c r="E7" s="21" t="s">
        <v>76</v>
      </c>
      <c r="F7" s="7">
        <v>42</v>
      </c>
      <c r="G7" s="7">
        <v>0.7</v>
      </c>
      <c r="H7" s="7" t="s">
        <v>68</v>
      </c>
      <c r="I7" s="7" t="s">
        <v>69</v>
      </c>
      <c r="J7" s="7" t="s">
        <v>73</v>
      </c>
      <c r="K7" s="7">
        <v>60</v>
      </c>
      <c r="L7" s="7" t="s">
        <v>73</v>
      </c>
      <c r="M7" s="7" t="s">
        <v>73</v>
      </c>
      <c r="N7" s="7" t="s">
        <v>73</v>
      </c>
      <c r="O7" s="7">
        <v>100</v>
      </c>
      <c r="P7" s="7" t="s">
        <v>73</v>
      </c>
      <c r="Q7" s="10"/>
      <c r="R7" s="10"/>
      <c r="S7" s="10"/>
      <c r="T7" s="10"/>
      <c r="U7" s="10"/>
      <c r="V7" s="10"/>
      <c r="W7" s="10"/>
      <c r="X7" s="10"/>
      <c r="Y7" s="10"/>
      <c r="Z7" s="10"/>
      <c r="AA7" s="10"/>
      <c r="AB7" s="10"/>
      <c r="AC7" s="10"/>
      <c r="AD7" s="10"/>
      <c r="AE7" s="10"/>
      <c r="AF7" s="10"/>
      <c r="AG7" s="11">
        <v>100</v>
      </c>
    </row>
    <row r="8" spans="1:36" s="11" customFormat="1" ht="13.5" customHeight="1" x14ac:dyDescent="0.3">
      <c r="A8" s="10" t="s">
        <v>77</v>
      </c>
      <c r="B8" s="16" t="s">
        <v>78</v>
      </c>
      <c r="C8" s="10" t="s">
        <v>66</v>
      </c>
      <c r="D8" s="10">
        <v>2</v>
      </c>
      <c r="E8" s="11" t="s">
        <v>79</v>
      </c>
      <c r="F8" s="16">
        <v>499</v>
      </c>
      <c r="G8" s="18">
        <v>1</v>
      </c>
      <c r="H8" s="18" t="s">
        <v>68</v>
      </c>
      <c r="I8" s="18" t="s">
        <v>80</v>
      </c>
      <c r="J8" s="19">
        <v>4.3</v>
      </c>
      <c r="K8" s="10">
        <v>60</v>
      </c>
      <c r="L8" s="19">
        <v>2.58</v>
      </c>
      <c r="M8" s="19">
        <v>4.3</v>
      </c>
      <c r="N8" s="20">
        <v>1.7</v>
      </c>
      <c r="O8" s="10">
        <v>100</v>
      </c>
      <c r="P8" s="20">
        <v>1.7</v>
      </c>
      <c r="Q8" s="20">
        <v>3.4</v>
      </c>
      <c r="R8" s="19">
        <v>90</v>
      </c>
      <c r="S8" s="20">
        <v>3.06</v>
      </c>
      <c r="T8" s="10">
        <v>1.4</v>
      </c>
      <c r="U8" s="19">
        <v>90</v>
      </c>
      <c r="V8" s="20">
        <v>1.2599999999999998</v>
      </c>
      <c r="W8" s="10">
        <v>2.4</v>
      </c>
      <c r="X8" s="19">
        <v>90</v>
      </c>
      <c r="Y8" s="20">
        <v>2.16</v>
      </c>
      <c r="Z8" s="10">
        <v>0.9</v>
      </c>
      <c r="AA8" s="19">
        <v>90</v>
      </c>
      <c r="AB8" s="20">
        <v>0.81</v>
      </c>
      <c r="AC8" s="20">
        <v>0</v>
      </c>
      <c r="AD8" s="19">
        <v>100</v>
      </c>
      <c r="AE8" s="20">
        <v>0</v>
      </c>
      <c r="AF8" s="10">
        <v>10</v>
      </c>
      <c r="AG8" s="11">
        <v>100</v>
      </c>
    </row>
    <row r="9" spans="1:36" s="11" customFormat="1" ht="15" customHeight="1" x14ac:dyDescent="0.3">
      <c r="A9" s="7" t="s">
        <v>81</v>
      </c>
      <c r="B9" s="7" t="s">
        <v>70</v>
      </c>
      <c r="C9" s="7" t="s">
        <v>66</v>
      </c>
      <c r="D9" s="7">
        <v>1</v>
      </c>
      <c r="E9" s="21" t="s">
        <v>82</v>
      </c>
      <c r="F9" s="7">
        <v>940</v>
      </c>
      <c r="G9" s="7">
        <v>0.8</v>
      </c>
      <c r="H9" s="7" t="s">
        <v>68</v>
      </c>
      <c r="I9" s="7" t="s">
        <v>69</v>
      </c>
      <c r="J9" s="7" t="s">
        <v>73</v>
      </c>
      <c r="K9" s="7">
        <v>30</v>
      </c>
      <c r="L9" s="7" t="s">
        <v>73</v>
      </c>
      <c r="M9" s="7" t="s">
        <v>73</v>
      </c>
      <c r="N9" s="7" t="s">
        <v>73</v>
      </c>
      <c r="O9" s="7">
        <v>100</v>
      </c>
      <c r="P9" s="7" t="s">
        <v>73</v>
      </c>
      <c r="Q9" s="10"/>
      <c r="R9" s="10"/>
      <c r="S9" s="10"/>
      <c r="T9" s="10"/>
      <c r="U9" s="10"/>
      <c r="V9" s="10"/>
      <c r="W9" s="10"/>
      <c r="X9" s="10"/>
      <c r="Y9" s="10"/>
      <c r="Z9" s="10"/>
      <c r="AA9" s="10"/>
      <c r="AB9" s="10"/>
      <c r="AC9" s="10"/>
      <c r="AD9" s="10"/>
      <c r="AE9" s="10"/>
      <c r="AF9" s="10"/>
      <c r="AG9" s="11">
        <v>100</v>
      </c>
    </row>
    <row r="10" spans="1:36" s="11" customFormat="1" ht="15" customHeight="1" x14ac:dyDescent="0.3">
      <c r="A10" s="7" t="s">
        <v>83</v>
      </c>
      <c r="B10" s="7" t="s">
        <v>84</v>
      </c>
      <c r="C10" s="7" t="s">
        <v>66</v>
      </c>
      <c r="D10" s="7">
        <v>2</v>
      </c>
      <c r="E10" s="21" t="s">
        <v>85</v>
      </c>
      <c r="F10" s="7">
        <v>599</v>
      </c>
      <c r="G10" s="7">
        <v>1</v>
      </c>
      <c r="H10" s="7" t="s">
        <v>68</v>
      </c>
      <c r="I10" s="7" t="s">
        <v>80</v>
      </c>
      <c r="J10" s="7" t="s">
        <v>73</v>
      </c>
      <c r="K10" s="7">
        <v>60</v>
      </c>
      <c r="L10" s="7" t="s">
        <v>73</v>
      </c>
      <c r="M10" s="7" t="s">
        <v>73</v>
      </c>
      <c r="N10" s="7" t="s">
        <v>73</v>
      </c>
      <c r="O10" s="7">
        <v>100</v>
      </c>
      <c r="P10" s="7" t="s">
        <v>73</v>
      </c>
      <c r="Q10" s="10"/>
      <c r="R10" s="10"/>
      <c r="S10" s="10"/>
      <c r="T10" s="10"/>
      <c r="U10" s="10"/>
      <c r="V10" s="10"/>
      <c r="W10" s="10"/>
      <c r="X10" s="10"/>
      <c r="Y10" s="10"/>
      <c r="Z10" s="10"/>
      <c r="AA10" s="10"/>
      <c r="AB10" s="10"/>
      <c r="AC10" s="10"/>
      <c r="AD10" s="10"/>
      <c r="AE10" s="10"/>
      <c r="AF10" s="10"/>
      <c r="AG10" s="11">
        <v>100</v>
      </c>
    </row>
    <row r="11" spans="1:36" s="11" customFormat="1" ht="15" customHeight="1" x14ac:dyDescent="0.3">
      <c r="A11" s="7" t="s">
        <v>86</v>
      </c>
      <c r="B11" s="7" t="s">
        <v>70</v>
      </c>
      <c r="C11" s="7" t="s">
        <v>66</v>
      </c>
      <c r="D11" s="7">
        <v>1</v>
      </c>
      <c r="E11" s="21" t="s">
        <v>87</v>
      </c>
      <c r="F11" s="7">
        <v>472</v>
      </c>
      <c r="G11" s="7">
        <v>0.7</v>
      </c>
      <c r="H11" s="7" t="s">
        <v>68</v>
      </c>
      <c r="I11" s="7" t="s">
        <v>69</v>
      </c>
      <c r="J11" s="7" t="s">
        <v>73</v>
      </c>
      <c r="K11" s="7">
        <v>30</v>
      </c>
      <c r="L11" s="7" t="s">
        <v>73</v>
      </c>
      <c r="M11" s="7" t="s">
        <v>73</v>
      </c>
      <c r="N11" s="7" t="s">
        <v>73</v>
      </c>
      <c r="O11" s="7">
        <v>100</v>
      </c>
      <c r="P11" s="7" t="s">
        <v>73</v>
      </c>
      <c r="Q11" s="10"/>
      <c r="R11" s="10"/>
      <c r="S11" s="10"/>
      <c r="T11" s="10"/>
      <c r="U11" s="10"/>
      <c r="V11" s="10"/>
      <c r="W11" s="10"/>
      <c r="X11" s="10"/>
      <c r="Y11" s="10"/>
      <c r="Z11" s="10"/>
      <c r="AA11" s="10"/>
      <c r="AB11" s="10"/>
      <c r="AC11" s="10"/>
      <c r="AD11" s="10"/>
      <c r="AE11" s="10"/>
      <c r="AF11" s="10"/>
      <c r="AG11" s="11">
        <v>100</v>
      </c>
    </row>
    <row r="12" spans="1:36" s="11" customFormat="1" ht="15" customHeight="1" x14ac:dyDescent="0.3">
      <c r="A12" s="6" t="s">
        <v>88</v>
      </c>
      <c r="B12" s="6" t="s">
        <v>65</v>
      </c>
      <c r="C12" s="10" t="s">
        <v>66</v>
      </c>
      <c r="D12" s="10">
        <v>2</v>
      </c>
      <c r="E12" s="22" t="s">
        <v>89</v>
      </c>
      <c r="F12" s="23">
        <v>536</v>
      </c>
      <c r="G12" s="24">
        <v>0.7</v>
      </c>
      <c r="H12" s="18" t="s">
        <v>68</v>
      </c>
      <c r="I12" s="18" t="s">
        <v>69</v>
      </c>
      <c r="J12" s="19">
        <v>5.8</v>
      </c>
      <c r="K12" s="23">
        <v>30</v>
      </c>
      <c r="L12" s="19">
        <v>1.74</v>
      </c>
      <c r="M12" s="19">
        <v>5.8</v>
      </c>
      <c r="N12" s="20">
        <v>3.9</v>
      </c>
      <c r="O12" s="10">
        <v>100</v>
      </c>
      <c r="P12" s="20">
        <v>3.9</v>
      </c>
      <c r="Q12" s="20">
        <v>0</v>
      </c>
      <c r="R12" s="19">
        <v>100</v>
      </c>
      <c r="S12" s="20">
        <v>0</v>
      </c>
      <c r="T12" s="10">
        <v>0</v>
      </c>
      <c r="U12" s="19">
        <v>100</v>
      </c>
      <c r="V12" s="20">
        <v>0</v>
      </c>
      <c r="W12" s="10">
        <v>0</v>
      </c>
      <c r="X12" s="19">
        <v>100</v>
      </c>
      <c r="Y12" s="20">
        <v>0</v>
      </c>
      <c r="Z12" s="10">
        <v>0</v>
      </c>
      <c r="AA12" s="19">
        <v>100</v>
      </c>
      <c r="AB12" s="20">
        <v>0</v>
      </c>
      <c r="AC12" s="20">
        <v>0</v>
      </c>
      <c r="AD12" s="19">
        <v>100</v>
      </c>
      <c r="AE12" s="20">
        <v>0</v>
      </c>
      <c r="AF12" s="10"/>
      <c r="AG12" s="11">
        <v>100</v>
      </c>
    </row>
    <row r="13" spans="1:36" s="11" customFormat="1" ht="15" customHeight="1" x14ac:dyDescent="0.3">
      <c r="A13" s="6" t="s">
        <v>90</v>
      </c>
      <c r="B13" s="6" t="s">
        <v>65</v>
      </c>
      <c r="C13" s="10" t="s">
        <v>66</v>
      </c>
      <c r="D13" s="10">
        <v>1</v>
      </c>
      <c r="E13" s="22" t="s">
        <v>91</v>
      </c>
      <c r="F13" s="23">
        <v>1538</v>
      </c>
      <c r="G13" s="24">
        <v>0.7</v>
      </c>
      <c r="H13" s="18" t="s">
        <v>68</v>
      </c>
      <c r="I13" s="18" t="s">
        <v>69</v>
      </c>
      <c r="J13" s="19">
        <v>6.3</v>
      </c>
      <c r="K13" s="23">
        <v>30</v>
      </c>
      <c r="L13" s="19">
        <v>1.89</v>
      </c>
      <c r="M13" s="19">
        <v>6.3</v>
      </c>
      <c r="N13" s="20">
        <v>4</v>
      </c>
      <c r="O13" s="10">
        <v>100</v>
      </c>
      <c r="P13" s="20">
        <v>4</v>
      </c>
      <c r="Q13" s="20">
        <v>0</v>
      </c>
      <c r="R13" s="19">
        <v>100</v>
      </c>
      <c r="S13" s="20">
        <v>0</v>
      </c>
      <c r="T13" s="10">
        <v>0</v>
      </c>
      <c r="U13" s="19">
        <v>100</v>
      </c>
      <c r="V13" s="20">
        <v>0</v>
      </c>
      <c r="W13" s="10">
        <v>0</v>
      </c>
      <c r="X13" s="19">
        <v>100</v>
      </c>
      <c r="Y13" s="20">
        <v>0</v>
      </c>
      <c r="Z13" s="10">
        <v>0</v>
      </c>
      <c r="AA13" s="19">
        <v>100</v>
      </c>
      <c r="AB13" s="20">
        <v>0</v>
      </c>
      <c r="AC13" s="20">
        <v>0</v>
      </c>
      <c r="AD13" s="19">
        <v>100</v>
      </c>
      <c r="AE13" s="20">
        <v>0</v>
      </c>
      <c r="AF13" s="10"/>
      <c r="AG13" s="11">
        <v>100</v>
      </c>
    </row>
    <row r="14" spans="1:36" s="11" customFormat="1" x14ac:dyDescent="0.3">
      <c r="A14" s="6" t="s">
        <v>92</v>
      </c>
      <c r="B14" s="25" t="s">
        <v>65</v>
      </c>
      <c r="C14" s="10" t="s">
        <v>66</v>
      </c>
      <c r="D14" s="10">
        <v>1</v>
      </c>
      <c r="E14" s="17" t="s">
        <v>93</v>
      </c>
      <c r="F14" s="26">
        <v>172</v>
      </c>
      <c r="G14" s="18">
        <v>0.7</v>
      </c>
      <c r="H14" s="18" t="s">
        <v>68</v>
      </c>
      <c r="I14" s="18" t="s">
        <v>69</v>
      </c>
      <c r="J14" s="19">
        <v>6.3</v>
      </c>
      <c r="K14" s="10">
        <v>30</v>
      </c>
      <c r="L14" s="19">
        <v>1.89</v>
      </c>
      <c r="M14" s="19">
        <v>6.3</v>
      </c>
      <c r="N14" s="20">
        <v>4</v>
      </c>
      <c r="O14" s="10">
        <v>100</v>
      </c>
      <c r="P14" s="20">
        <v>4</v>
      </c>
      <c r="Q14" s="20">
        <v>0</v>
      </c>
      <c r="R14" s="19">
        <v>100</v>
      </c>
      <c r="S14" s="20">
        <v>0</v>
      </c>
      <c r="T14" s="10">
        <v>0</v>
      </c>
      <c r="U14" s="19">
        <v>100</v>
      </c>
      <c r="V14" s="20">
        <v>0</v>
      </c>
      <c r="W14" s="10">
        <v>0</v>
      </c>
      <c r="X14" s="19">
        <v>100</v>
      </c>
      <c r="Y14" s="20">
        <v>0</v>
      </c>
      <c r="Z14" s="10">
        <v>0</v>
      </c>
      <c r="AA14" s="19">
        <v>100</v>
      </c>
      <c r="AB14" s="20">
        <v>0</v>
      </c>
      <c r="AC14" s="20">
        <v>0</v>
      </c>
      <c r="AD14" s="19">
        <v>100</v>
      </c>
      <c r="AE14" s="20">
        <v>0</v>
      </c>
      <c r="AF14" s="10"/>
      <c r="AG14" s="11">
        <v>100</v>
      </c>
    </row>
    <row r="15" spans="1:36" s="11" customFormat="1" x14ac:dyDescent="0.3">
      <c r="A15" s="7" t="s">
        <v>94</v>
      </c>
      <c r="B15" s="7" t="s">
        <v>70</v>
      </c>
      <c r="C15" s="7" t="s">
        <v>66</v>
      </c>
      <c r="D15" s="7">
        <v>2</v>
      </c>
      <c r="E15" s="21" t="s">
        <v>95</v>
      </c>
      <c r="F15" s="7">
        <v>1511</v>
      </c>
      <c r="G15" s="7">
        <v>0.7</v>
      </c>
      <c r="H15" s="7" t="s">
        <v>68</v>
      </c>
      <c r="I15" s="7" t="s">
        <v>69</v>
      </c>
      <c r="J15" s="7" t="s">
        <v>73</v>
      </c>
      <c r="K15" s="7">
        <v>30</v>
      </c>
      <c r="L15" s="7" t="s">
        <v>73</v>
      </c>
      <c r="M15" s="7" t="s">
        <v>73</v>
      </c>
      <c r="N15" s="7" t="s">
        <v>73</v>
      </c>
      <c r="O15" s="7">
        <v>100</v>
      </c>
      <c r="P15" s="7" t="s">
        <v>73</v>
      </c>
      <c r="Q15" s="10"/>
      <c r="R15" s="10"/>
      <c r="S15" s="10"/>
      <c r="T15" s="10"/>
      <c r="U15" s="10"/>
      <c r="V15" s="10"/>
      <c r="W15" s="10"/>
      <c r="X15" s="10"/>
      <c r="Y15" s="10"/>
      <c r="Z15" s="10"/>
      <c r="AA15" s="10"/>
      <c r="AB15" s="10"/>
      <c r="AC15" s="10"/>
      <c r="AD15" s="10"/>
      <c r="AE15" s="10"/>
      <c r="AF15" s="10"/>
      <c r="AG15" s="11">
        <v>100</v>
      </c>
    </row>
    <row r="16" spans="1:36" s="11" customFormat="1" x14ac:dyDescent="0.3">
      <c r="A16" s="7" t="s">
        <v>96</v>
      </c>
      <c r="B16" s="7" t="s">
        <v>84</v>
      </c>
      <c r="C16" s="7" t="s">
        <v>66</v>
      </c>
      <c r="D16" s="7">
        <v>2</v>
      </c>
      <c r="E16" s="21" t="s">
        <v>97</v>
      </c>
      <c r="F16" s="7">
        <v>1401</v>
      </c>
      <c r="G16" s="7">
        <v>1</v>
      </c>
      <c r="H16" s="7" t="s">
        <v>68</v>
      </c>
      <c r="I16" s="7" t="s">
        <v>80</v>
      </c>
      <c r="J16" s="7" t="s">
        <v>73</v>
      </c>
      <c r="K16" s="7">
        <v>60</v>
      </c>
      <c r="L16" s="7" t="s">
        <v>73</v>
      </c>
      <c r="M16" s="7" t="s">
        <v>73</v>
      </c>
      <c r="N16" s="7" t="s">
        <v>73</v>
      </c>
      <c r="O16" s="7">
        <v>100</v>
      </c>
      <c r="P16" s="7" t="s">
        <v>73</v>
      </c>
      <c r="Q16" s="10"/>
      <c r="R16" s="10"/>
      <c r="S16" s="10"/>
      <c r="T16" s="10"/>
      <c r="U16" s="10"/>
      <c r="V16" s="10"/>
      <c r="W16" s="10"/>
      <c r="X16" s="10"/>
      <c r="Y16" s="10"/>
      <c r="Z16" s="10"/>
      <c r="AA16" s="10"/>
      <c r="AB16" s="10"/>
      <c r="AC16" s="10"/>
      <c r="AD16" s="10"/>
      <c r="AE16" s="10"/>
      <c r="AF16" s="10"/>
      <c r="AG16" s="11">
        <v>100</v>
      </c>
    </row>
    <row r="17" spans="1:33" s="11" customFormat="1" ht="15" customHeight="1" x14ac:dyDescent="0.3">
      <c r="A17" s="7" t="s">
        <v>98</v>
      </c>
      <c r="B17" s="7" t="s">
        <v>70</v>
      </c>
      <c r="C17" s="7" t="s">
        <v>66</v>
      </c>
      <c r="D17" s="7">
        <v>2</v>
      </c>
      <c r="E17" s="21" t="s">
        <v>99</v>
      </c>
      <c r="F17" s="7">
        <v>1402</v>
      </c>
      <c r="G17" s="7">
        <v>0.7</v>
      </c>
      <c r="H17" s="7" t="s">
        <v>68</v>
      </c>
      <c r="I17" s="7" t="s">
        <v>69</v>
      </c>
      <c r="J17" s="7" t="s">
        <v>73</v>
      </c>
      <c r="K17" s="7">
        <v>30</v>
      </c>
      <c r="L17" s="7" t="s">
        <v>73</v>
      </c>
      <c r="M17" s="7" t="s">
        <v>73</v>
      </c>
      <c r="N17" s="7" t="s">
        <v>73</v>
      </c>
      <c r="O17" s="7">
        <v>100</v>
      </c>
      <c r="P17" s="7" t="s">
        <v>73</v>
      </c>
      <c r="Q17" s="10"/>
      <c r="R17" s="10"/>
      <c r="S17" s="10"/>
      <c r="T17" s="10"/>
      <c r="U17" s="10"/>
      <c r="V17" s="10"/>
      <c r="W17" s="10"/>
      <c r="X17" s="10"/>
      <c r="Y17" s="10"/>
      <c r="Z17" s="10"/>
      <c r="AA17" s="10"/>
      <c r="AB17" s="10"/>
      <c r="AC17" s="10"/>
      <c r="AD17" s="10"/>
      <c r="AE17" s="10"/>
      <c r="AF17" s="10"/>
      <c r="AG17" s="11">
        <v>100</v>
      </c>
    </row>
    <row r="18" spans="1:33" s="11" customFormat="1" ht="15" customHeight="1" x14ac:dyDescent="0.3">
      <c r="A18" s="7" t="s">
        <v>100</v>
      </c>
      <c r="B18" s="7" t="s">
        <v>84</v>
      </c>
      <c r="C18" s="7" t="s">
        <v>66</v>
      </c>
      <c r="D18" s="7">
        <v>2</v>
      </c>
      <c r="E18" s="21" t="s">
        <v>101</v>
      </c>
      <c r="F18" s="7">
        <v>1404</v>
      </c>
      <c r="G18" s="7">
        <v>1</v>
      </c>
      <c r="H18" s="7" t="s">
        <v>68</v>
      </c>
      <c r="I18" s="7" t="s">
        <v>80</v>
      </c>
      <c r="J18" s="7" t="s">
        <v>73</v>
      </c>
      <c r="K18" s="7">
        <v>60</v>
      </c>
      <c r="L18" s="7" t="s">
        <v>73</v>
      </c>
      <c r="M18" s="7" t="s">
        <v>73</v>
      </c>
      <c r="N18" s="7" t="s">
        <v>73</v>
      </c>
      <c r="O18" s="7">
        <v>100</v>
      </c>
      <c r="P18" s="7" t="s">
        <v>73</v>
      </c>
      <c r="Q18" s="10"/>
      <c r="R18" s="10"/>
      <c r="S18" s="10"/>
      <c r="T18" s="10"/>
      <c r="U18" s="10"/>
      <c r="V18" s="10"/>
      <c r="W18" s="10"/>
      <c r="X18" s="10"/>
      <c r="Y18" s="10"/>
      <c r="Z18" s="10"/>
      <c r="AA18" s="10"/>
      <c r="AB18" s="10"/>
      <c r="AC18" s="10"/>
      <c r="AD18" s="10"/>
      <c r="AE18" s="10"/>
      <c r="AF18" s="10"/>
      <c r="AG18" s="11">
        <v>100</v>
      </c>
    </row>
    <row r="19" spans="1:33" s="11" customFormat="1" x14ac:dyDescent="0.3">
      <c r="A19" s="7" t="s">
        <v>102</v>
      </c>
      <c r="B19" s="7" t="s">
        <v>84</v>
      </c>
      <c r="C19" s="7" t="s">
        <v>66</v>
      </c>
      <c r="D19" s="7">
        <v>2</v>
      </c>
      <c r="E19" s="21" t="s">
        <v>103</v>
      </c>
      <c r="F19" s="7">
        <v>1403</v>
      </c>
      <c r="G19" s="7">
        <v>1</v>
      </c>
      <c r="H19" s="7" t="s">
        <v>68</v>
      </c>
      <c r="I19" s="7" t="s">
        <v>80</v>
      </c>
      <c r="J19" s="7" t="s">
        <v>73</v>
      </c>
      <c r="K19" s="7">
        <v>60</v>
      </c>
      <c r="L19" s="7" t="s">
        <v>73</v>
      </c>
      <c r="M19" s="7" t="s">
        <v>73</v>
      </c>
      <c r="N19" s="7" t="s">
        <v>73</v>
      </c>
      <c r="O19" s="7">
        <v>100</v>
      </c>
      <c r="P19" s="7" t="s">
        <v>73</v>
      </c>
      <c r="Q19" s="10"/>
      <c r="R19" s="10"/>
      <c r="S19" s="10"/>
      <c r="T19" s="10"/>
      <c r="U19" s="10"/>
      <c r="V19" s="10"/>
      <c r="W19" s="10"/>
      <c r="X19" s="10"/>
      <c r="Y19" s="10"/>
      <c r="Z19" s="10"/>
      <c r="AA19" s="10"/>
      <c r="AB19" s="10"/>
      <c r="AC19" s="10"/>
      <c r="AD19" s="10"/>
      <c r="AE19" s="10"/>
      <c r="AF19" s="10"/>
      <c r="AG19" s="11">
        <v>100</v>
      </c>
    </row>
    <row r="20" spans="1:33" s="11" customFormat="1" x14ac:dyDescent="0.3">
      <c r="A20" s="7" t="s">
        <v>104</v>
      </c>
      <c r="B20" s="7" t="s">
        <v>105</v>
      </c>
      <c r="C20" s="7" t="s">
        <v>66</v>
      </c>
      <c r="D20" s="7">
        <v>2</v>
      </c>
      <c r="E20" s="21" t="s">
        <v>106</v>
      </c>
      <c r="F20" s="7">
        <v>1405</v>
      </c>
      <c r="G20" s="7">
        <v>0.7</v>
      </c>
      <c r="H20" s="7" t="s">
        <v>68</v>
      </c>
      <c r="I20" s="7" t="s">
        <v>69</v>
      </c>
      <c r="J20" s="7" t="s">
        <v>73</v>
      </c>
      <c r="K20" s="7">
        <v>30</v>
      </c>
      <c r="L20" s="7" t="s">
        <v>73</v>
      </c>
      <c r="M20" s="7" t="s">
        <v>73</v>
      </c>
      <c r="N20" s="7" t="s">
        <v>73</v>
      </c>
      <c r="O20" s="7">
        <v>100</v>
      </c>
      <c r="P20" s="7" t="s">
        <v>73</v>
      </c>
      <c r="Q20" s="10"/>
      <c r="R20" s="10"/>
      <c r="S20" s="10"/>
      <c r="T20" s="10"/>
      <c r="U20" s="10"/>
      <c r="V20" s="10"/>
      <c r="W20" s="10"/>
      <c r="X20" s="10"/>
      <c r="Y20" s="10"/>
      <c r="Z20" s="10"/>
      <c r="AA20" s="10"/>
      <c r="AB20" s="10"/>
      <c r="AC20" s="10"/>
      <c r="AD20" s="10"/>
      <c r="AE20" s="10"/>
      <c r="AF20" s="10"/>
      <c r="AG20" s="11">
        <v>100</v>
      </c>
    </row>
    <row r="21" spans="1:33" s="11" customFormat="1" ht="15" customHeight="1" x14ac:dyDescent="0.3">
      <c r="A21" s="7" t="s">
        <v>107</v>
      </c>
      <c r="B21" s="7" t="s">
        <v>84</v>
      </c>
      <c r="C21" s="7" t="s">
        <v>66</v>
      </c>
      <c r="D21" s="7">
        <v>2</v>
      </c>
      <c r="E21" s="21" t="s">
        <v>108</v>
      </c>
      <c r="F21" s="7">
        <v>1400</v>
      </c>
      <c r="G21" s="7">
        <v>1</v>
      </c>
      <c r="H21" s="7" t="s">
        <v>68</v>
      </c>
      <c r="I21" s="7" t="s">
        <v>80</v>
      </c>
      <c r="J21" s="7" t="s">
        <v>73</v>
      </c>
      <c r="K21" s="7">
        <v>60</v>
      </c>
      <c r="L21" s="7" t="s">
        <v>73</v>
      </c>
      <c r="M21" s="7" t="s">
        <v>73</v>
      </c>
      <c r="N21" s="7" t="s">
        <v>73</v>
      </c>
      <c r="O21" s="7">
        <v>100</v>
      </c>
      <c r="P21" s="7" t="s">
        <v>73</v>
      </c>
      <c r="Q21" s="10"/>
      <c r="R21" s="10"/>
      <c r="S21" s="10"/>
      <c r="T21" s="10"/>
      <c r="U21" s="10"/>
      <c r="V21" s="10"/>
      <c r="W21" s="10"/>
      <c r="X21" s="10"/>
      <c r="Y21" s="10"/>
      <c r="Z21" s="10"/>
      <c r="AA21" s="10"/>
      <c r="AB21" s="10"/>
      <c r="AC21" s="10"/>
      <c r="AD21" s="10"/>
      <c r="AE21" s="10"/>
      <c r="AF21" s="10"/>
      <c r="AG21" s="11">
        <v>100</v>
      </c>
    </row>
    <row r="22" spans="1:33" s="11" customFormat="1" x14ac:dyDescent="0.3">
      <c r="A22" s="7" t="s">
        <v>109</v>
      </c>
      <c r="B22" s="7" t="s">
        <v>70</v>
      </c>
      <c r="C22" s="7" t="s">
        <v>66</v>
      </c>
      <c r="D22" s="7">
        <v>2</v>
      </c>
      <c r="E22" s="21" t="s">
        <v>110</v>
      </c>
      <c r="F22" s="7">
        <v>709</v>
      </c>
      <c r="G22" s="7">
        <v>0.7</v>
      </c>
      <c r="H22" s="7" t="s">
        <v>68</v>
      </c>
      <c r="I22" s="7" t="s">
        <v>69</v>
      </c>
      <c r="J22" s="7" t="s">
        <v>73</v>
      </c>
      <c r="K22" s="7">
        <v>30</v>
      </c>
      <c r="L22" s="7" t="s">
        <v>73</v>
      </c>
      <c r="M22" s="7" t="s">
        <v>73</v>
      </c>
      <c r="N22" s="7" t="s">
        <v>73</v>
      </c>
      <c r="O22" s="7">
        <v>100</v>
      </c>
      <c r="P22" s="7" t="s">
        <v>73</v>
      </c>
      <c r="Q22" s="10"/>
      <c r="R22" s="10"/>
      <c r="S22" s="10"/>
      <c r="T22" s="10"/>
      <c r="U22" s="10"/>
      <c r="V22" s="10"/>
      <c r="W22" s="10"/>
      <c r="X22" s="10"/>
      <c r="Y22" s="10"/>
      <c r="Z22" s="10"/>
      <c r="AA22" s="10"/>
      <c r="AB22" s="10"/>
      <c r="AC22" s="10"/>
      <c r="AD22" s="10"/>
      <c r="AE22" s="10"/>
      <c r="AF22" s="10"/>
      <c r="AG22" s="11">
        <v>100</v>
      </c>
    </row>
    <row r="23" spans="1:33" s="11" customFormat="1" ht="15" customHeight="1" x14ac:dyDescent="0.3">
      <c r="A23" s="7" t="s">
        <v>111</v>
      </c>
      <c r="B23" s="7" t="s">
        <v>84</v>
      </c>
      <c r="C23" s="7" t="s">
        <v>71</v>
      </c>
      <c r="D23" s="7">
        <v>2</v>
      </c>
      <c r="E23" s="21" t="s">
        <v>112</v>
      </c>
      <c r="F23" s="7">
        <v>1421</v>
      </c>
      <c r="G23" s="7">
        <v>1</v>
      </c>
      <c r="H23" s="7" t="s">
        <v>68</v>
      </c>
      <c r="I23" s="7" t="s">
        <v>80</v>
      </c>
      <c r="J23" s="7" t="s">
        <v>73</v>
      </c>
      <c r="K23" s="7">
        <v>60</v>
      </c>
      <c r="L23" s="7" t="s">
        <v>73</v>
      </c>
      <c r="M23" s="7" t="s">
        <v>73</v>
      </c>
      <c r="N23" s="7" t="s">
        <v>73</v>
      </c>
      <c r="O23" s="7">
        <v>100</v>
      </c>
      <c r="P23" s="7" t="s">
        <v>73</v>
      </c>
      <c r="Q23" s="10"/>
      <c r="R23" s="10"/>
      <c r="S23" s="10"/>
      <c r="T23" s="10"/>
      <c r="U23" s="10"/>
      <c r="V23" s="10"/>
      <c r="W23" s="10"/>
      <c r="X23" s="10"/>
      <c r="Y23" s="10"/>
      <c r="Z23" s="10"/>
      <c r="AA23" s="10"/>
      <c r="AB23" s="10"/>
      <c r="AC23" s="10"/>
      <c r="AD23" s="10"/>
      <c r="AE23" s="10"/>
      <c r="AF23" s="10"/>
      <c r="AG23" s="11">
        <v>100</v>
      </c>
    </row>
    <row r="24" spans="1:33" s="11" customFormat="1" ht="15" customHeight="1" x14ac:dyDescent="0.3">
      <c r="A24" s="7" t="s">
        <v>113</v>
      </c>
      <c r="B24" s="7" t="s">
        <v>70</v>
      </c>
      <c r="C24" s="7" t="s">
        <v>71</v>
      </c>
      <c r="D24" s="7">
        <v>2</v>
      </c>
      <c r="E24" s="21" t="s">
        <v>114</v>
      </c>
      <c r="F24" s="7">
        <v>1422</v>
      </c>
      <c r="G24" s="7">
        <v>0.7</v>
      </c>
      <c r="H24" s="7" t="s">
        <v>68</v>
      </c>
      <c r="I24" s="7" t="s">
        <v>69</v>
      </c>
      <c r="J24" s="7" t="s">
        <v>73</v>
      </c>
      <c r="K24" s="7">
        <v>60</v>
      </c>
      <c r="L24" s="7" t="s">
        <v>73</v>
      </c>
      <c r="M24" s="7" t="s">
        <v>73</v>
      </c>
      <c r="N24" s="7" t="s">
        <v>73</v>
      </c>
      <c r="O24" s="7">
        <v>100</v>
      </c>
      <c r="P24" s="7" t="s">
        <v>73</v>
      </c>
      <c r="Q24" s="10"/>
      <c r="R24" s="10"/>
      <c r="S24" s="10"/>
      <c r="T24" s="10"/>
      <c r="U24" s="10"/>
      <c r="V24" s="10"/>
      <c r="W24" s="10"/>
      <c r="X24" s="10"/>
      <c r="Y24" s="10"/>
      <c r="Z24" s="10"/>
      <c r="AA24" s="10"/>
      <c r="AB24" s="10"/>
      <c r="AC24" s="10"/>
      <c r="AD24" s="10"/>
      <c r="AE24" s="10"/>
      <c r="AF24" s="10"/>
      <c r="AG24" s="11">
        <v>100</v>
      </c>
    </row>
    <row r="25" spans="1:33" s="11" customFormat="1" ht="15" customHeight="1" x14ac:dyDescent="0.3">
      <c r="A25" s="7" t="s">
        <v>115</v>
      </c>
      <c r="B25" s="7" t="s">
        <v>84</v>
      </c>
      <c r="C25" s="7" t="s">
        <v>71</v>
      </c>
      <c r="D25" s="7">
        <v>2</v>
      </c>
      <c r="E25" s="21" t="s">
        <v>116</v>
      </c>
      <c r="F25" s="7">
        <v>1423</v>
      </c>
      <c r="G25" s="7">
        <v>1</v>
      </c>
      <c r="H25" s="7" t="s">
        <v>68</v>
      </c>
      <c r="I25" s="7" t="s">
        <v>80</v>
      </c>
      <c r="J25" s="7" t="s">
        <v>73</v>
      </c>
      <c r="K25" s="7">
        <v>60</v>
      </c>
      <c r="L25" s="7" t="s">
        <v>73</v>
      </c>
      <c r="M25" s="7" t="s">
        <v>73</v>
      </c>
      <c r="N25" s="7" t="s">
        <v>73</v>
      </c>
      <c r="O25" s="7">
        <v>100</v>
      </c>
      <c r="P25" s="7" t="s">
        <v>73</v>
      </c>
      <c r="Q25" s="10"/>
      <c r="R25" s="10"/>
      <c r="S25" s="10"/>
      <c r="T25" s="10"/>
      <c r="U25" s="10"/>
      <c r="V25" s="10"/>
      <c r="W25" s="10"/>
      <c r="X25" s="10"/>
      <c r="Y25" s="10"/>
      <c r="Z25" s="10"/>
      <c r="AA25" s="10"/>
      <c r="AB25" s="10"/>
      <c r="AC25" s="10"/>
      <c r="AD25" s="10"/>
      <c r="AE25" s="10"/>
      <c r="AF25" s="10"/>
      <c r="AG25" s="11">
        <v>100</v>
      </c>
    </row>
    <row r="26" spans="1:33" s="11" customFormat="1" ht="15" customHeight="1" x14ac:dyDescent="0.3">
      <c r="A26" s="7" t="s">
        <v>117</v>
      </c>
      <c r="B26" s="7" t="s">
        <v>105</v>
      </c>
      <c r="C26" s="7" t="s">
        <v>71</v>
      </c>
      <c r="D26" s="7">
        <v>2</v>
      </c>
      <c r="E26" s="21" t="s">
        <v>118</v>
      </c>
      <c r="F26" s="7">
        <v>1425</v>
      </c>
      <c r="G26" s="7">
        <v>0.7</v>
      </c>
      <c r="H26" s="7" t="s">
        <v>68</v>
      </c>
      <c r="I26" s="7" t="s">
        <v>69</v>
      </c>
      <c r="J26" s="7" t="s">
        <v>73</v>
      </c>
      <c r="K26" s="7">
        <v>60</v>
      </c>
      <c r="L26" s="7" t="s">
        <v>73</v>
      </c>
      <c r="M26" s="7" t="s">
        <v>73</v>
      </c>
      <c r="N26" s="7" t="s">
        <v>73</v>
      </c>
      <c r="O26" s="7">
        <v>100</v>
      </c>
      <c r="P26" s="7" t="s">
        <v>73</v>
      </c>
      <c r="Q26" s="10"/>
      <c r="R26" s="10"/>
      <c r="S26" s="10"/>
      <c r="T26" s="10"/>
      <c r="U26" s="10"/>
      <c r="V26" s="10"/>
      <c r="W26" s="10"/>
      <c r="X26" s="10"/>
      <c r="Y26" s="10"/>
      <c r="Z26" s="10"/>
      <c r="AA26" s="10"/>
      <c r="AB26" s="10"/>
      <c r="AC26" s="10"/>
      <c r="AD26" s="10"/>
      <c r="AE26" s="10"/>
      <c r="AF26" s="10"/>
      <c r="AG26" s="11">
        <v>100</v>
      </c>
    </row>
    <row r="27" spans="1:33" s="11" customFormat="1" x14ac:dyDescent="0.3">
      <c r="A27" s="7" t="s">
        <v>119</v>
      </c>
      <c r="B27" s="7" t="s">
        <v>84</v>
      </c>
      <c r="C27" s="7" t="s">
        <v>71</v>
      </c>
      <c r="D27" s="7">
        <v>2</v>
      </c>
      <c r="E27" s="21" t="s">
        <v>120</v>
      </c>
      <c r="F27" s="7">
        <v>1420</v>
      </c>
      <c r="G27" s="7">
        <v>1</v>
      </c>
      <c r="H27" s="7" t="s">
        <v>68</v>
      </c>
      <c r="I27" s="7" t="s">
        <v>80</v>
      </c>
      <c r="J27" s="7" t="s">
        <v>73</v>
      </c>
      <c r="K27" s="7">
        <v>60</v>
      </c>
      <c r="L27" s="7" t="s">
        <v>73</v>
      </c>
      <c r="M27" s="7" t="s">
        <v>73</v>
      </c>
      <c r="N27" s="7" t="s">
        <v>73</v>
      </c>
      <c r="O27" s="7">
        <v>100</v>
      </c>
      <c r="P27" s="7" t="s">
        <v>73</v>
      </c>
      <c r="Q27" s="10"/>
      <c r="R27" s="10"/>
      <c r="S27" s="10"/>
      <c r="T27" s="10"/>
      <c r="U27" s="10"/>
      <c r="V27" s="10"/>
      <c r="W27" s="10"/>
      <c r="X27" s="10"/>
      <c r="Y27" s="10"/>
      <c r="Z27" s="10"/>
      <c r="AA27" s="10"/>
      <c r="AB27" s="10"/>
      <c r="AC27" s="10"/>
      <c r="AD27" s="10"/>
      <c r="AE27" s="10"/>
      <c r="AF27" s="10"/>
      <c r="AG27" s="11">
        <v>100</v>
      </c>
    </row>
    <row r="28" spans="1:33" s="11" customFormat="1" ht="30" customHeight="1" x14ac:dyDescent="0.3">
      <c r="A28" s="7" t="s">
        <v>121</v>
      </c>
      <c r="B28" s="7" t="s">
        <v>84</v>
      </c>
      <c r="C28" s="7" t="s">
        <v>66</v>
      </c>
      <c r="D28" s="7">
        <v>2</v>
      </c>
      <c r="E28" s="21" t="s">
        <v>122</v>
      </c>
      <c r="F28" s="7">
        <v>1134</v>
      </c>
      <c r="G28" s="7">
        <v>1</v>
      </c>
      <c r="H28" s="7" t="s">
        <v>68</v>
      </c>
      <c r="I28" s="7" t="s">
        <v>80</v>
      </c>
      <c r="J28" s="7" t="s">
        <v>73</v>
      </c>
      <c r="K28" s="7">
        <v>60</v>
      </c>
      <c r="L28" s="7" t="s">
        <v>73</v>
      </c>
      <c r="M28" s="7" t="s">
        <v>73</v>
      </c>
      <c r="N28" s="7" t="s">
        <v>73</v>
      </c>
      <c r="O28" s="7">
        <v>100</v>
      </c>
      <c r="P28" s="7" t="s">
        <v>73</v>
      </c>
      <c r="Q28" s="10"/>
      <c r="R28" s="10"/>
      <c r="S28" s="10"/>
      <c r="T28" s="10"/>
      <c r="U28" s="10"/>
      <c r="V28" s="10"/>
      <c r="W28" s="10"/>
      <c r="X28" s="10"/>
      <c r="Y28" s="10"/>
      <c r="Z28" s="10"/>
      <c r="AA28" s="10"/>
      <c r="AB28" s="10"/>
      <c r="AC28" s="10"/>
      <c r="AD28" s="10"/>
      <c r="AE28" s="10"/>
      <c r="AF28" s="10"/>
      <c r="AG28" s="11">
        <v>100</v>
      </c>
    </row>
    <row r="29" spans="1:33" s="11" customFormat="1" ht="30" customHeight="1" x14ac:dyDescent="0.3">
      <c r="A29" s="7" t="s">
        <v>123</v>
      </c>
      <c r="B29" s="7" t="s">
        <v>84</v>
      </c>
      <c r="C29" s="7" t="s">
        <v>66</v>
      </c>
      <c r="D29" s="7">
        <v>2</v>
      </c>
      <c r="E29" s="21" t="s">
        <v>124</v>
      </c>
      <c r="F29" s="7">
        <v>1533</v>
      </c>
      <c r="G29" s="7">
        <v>1</v>
      </c>
      <c r="H29" s="7" t="s">
        <v>68</v>
      </c>
      <c r="I29" s="7" t="s">
        <v>80</v>
      </c>
      <c r="J29" s="7" t="s">
        <v>73</v>
      </c>
      <c r="K29" s="7">
        <v>60</v>
      </c>
      <c r="L29" s="7" t="s">
        <v>73</v>
      </c>
      <c r="M29" s="7" t="s">
        <v>73</v>
      </c>
      <c r="N29" s="7" t="s">
        <v>73</v>
      </c>
      <c r="O29" s="7">
        <v>100</v>
      </c>
      <c r="P29" s="7" t="s">
        <v>73</v>
      </c>
      <c r="Q29" s="10"/>
      <c r="R29" s="10"/>
      <c r="S29" s="10"/>
      <c r="T29" s="10"/>
      <c r="U29" s="10"/>
      <c r="V29" s="10"/>
      <c r="W29" s="10"/>
      <c r="X29" s="10"/>
      <c r="Y29" s="10"/>
      <c r="Z29" s="10"/>
      <c r="AA29" s="10"/>
      <c r="AB29" s="10"/>
      <c r="AC29" s="10"/>
      <c r="AD29" s="10"/>
      <c r="AE29" s="10"/>
      <c r="AF29" s="10"/>
      <c r="AG29" s="11">
        <v>100</v>
      </c>
    </row>
    <row r="30" spans="1:33" s="11" customFormat="1" ht="30" customHeight="1" x14ac:dyDescent="0.3">
      <c r="A30" s="7" t="s">
        <v>121</v>
      </c>
      <c r="B30" s="7" t="s">
        <v>84</v>
      </c>
      <c r="C30" s="7" t="s">
        <v>66</v>
      </c>
      <c r="D30" s="7">
        <v>2</v>
      </c>
      <c r="E30" s="21" t="s">
        <v>125</v>
      </c>
      <c r="F30" s="7">
        <v>1134</v>
      </c>
      <c r="G30" s="7">
        <v>1</v>
      </c>
      <c r="H30" s="7" t="s">
        <v>68</v>
      </c>
      <c r="I30" s="7" t="s">
        <v>80</v>
      </c>
      <c r="J30" s="7" t="s">
        <v>73</v>
      </c>
      <c r="K30" s="7">
        <v>60</v>
      </c>
      <c r="L30" s="7" t="s">
        <v>73</v>
      </c>
      <c r="M30" s="7" t="s">
        <v>73</v>
      </c>
      <c r="N30" s="7" t="s">
        <v>73</v>
      </c>
      <c r="O30" s="7">
        <v>100</v>
      </c>
      <c r="P30" s="7" t="s">
        <v>73</v>
      </c>
      <c r="Q30" s="10"/>
      <c r="R30" s="10"/>
      <c r="S30" s="10"/>
      <c r="T30" s="10"/>
      <c r="U30" s="10"/>
      <c r="V30" s="10"/>
      <c r="W30" s="10"/>
      <c r="X30" s="10"/>
      <c r="Y30" s="10"/>
      <c r="Z30" s="10"/>
      <c r="AA30" s="10"/>
      <c r="AB30" s="10"/>
      <c r="AC30" s="10"/>
      <c r="AD30" s="10"/>
      <c r="AE30" s="10"/>
      <c r="AF30" s="10"/>
      <c r="AG30" s="11">
        <v>100</v>
      </c>
    </row>
    <row r="31" spans="1:33" s="11" customFormat="1" ht="43.2" x14ac:dyDescent="0.3">
      <c r="A31" s="6" t="s">
        <v>126</v>
      </c>
      <c r="B31" s="6" t="s">
        <v>65</v>
      </c>
      <c r="C31" s="10" t="s">
        <v>66</v>
      </c>
      <c r="D31" s="10">
        <v>2</v>
      </c>
      <c r="E31" s="22" t="s">
        <v>127</v>
      </c>
      <c r="F31" s="23">
        <v>202</v>
      </c>
      <c r="G31" s="24">
        <v>0.4</v>
      </c>
      <c r="H31" s="18" t="s">
        <v>68</v>
      </c>
      <c r="I31" s="18" t="s">
        <v>69</v>
      </c>
      <c r="J31" s="19">
        <v>7.5</v>
      </c>
      <c r="K31" s="23">
        <v>30</v>
      </c>
      <c r="L31" s="19">
        <v>2.25</v>
      </c>
      <c r="M31" s="19">
        <v>7.5</v>
      </c>
      <c r="N31" s="20">
        <v>4.4000000000000004</v>
      </c>
      <c r="O31" s="10">
        <v>100</v>
      </c>
      <c r="P31" s="20">
        <v>4.4000000000000004</v>
      </c>
      <c r="Q31" s="20">
        <v>0</v>
      </c>
      <c r="R31" s="19">
        <v>100</v>
      </c>
      <c r="S31" s="20">
        <v>0</v>
      </c>
      <c r="T31" s="10">
        <v>0</v>
      </c>
      <c r="U31" s="19">
        <v>100</v>
      </c>
      <c r="V31" s="20">
        <v>0</v>
      </c>
      <c r="W31" s="10">
        <v>0</v>
      </c>
      <c r="X31" s="19">
        <v>100</v>
      </c>
      <c r="Y31" s="20">
        <v>0</v>
      </c>
      <c r="Z31" s="10">
        <v>0</v>
      </c>
      <c r="AA31" s="19">
        <v>100</v>
      </c>
      <c r="AB31" s="20">
        <v>0</v>
      </c>
      <c r="AC31" s="20">
        <v>0</v>
      </c>
      <c r="AD31" s="19">
        <v>100</v>
      </c>
      <c r="AE31" s="20">
        <v>0</v>
      </c>
      <c r="AF31" s="10"/>
      <c r="AG31" s="11">
        <v>100</v>
      </c>
    </row>
    <row r="32" spans="1:33" s="11" customFormat="1" ht="30" customHeight="1" x14ac:dyDescent="0.3">
      <c r="A32" s="7" t="s">
        <v>128</v>
      </c>
      <c r="B32" s="7" t="s">
        <v>84</v>
      </c>
      <c r="C32" s="7" t="s">
        <v>66</v>
      </c>
      <c r="D32" s="7">
        <v>2</v>
      </c>
      <c r="E32" s="21" t="s">
        <v>129</v>
      </c>
      <c r="F32" s="7">
        <v>736</v>
      </c>
      <c r="G32" s="7">
        <v>1</v>
      </c>
      <c r="H32" s="7" t="s">
        <v>68</v>
      </c>
      <c r="I32" s="7" t="s">
        <v>80</v>
      </c>
      <c r="J32" s="7" t="s">
        <v>73</v>
      </c>
      <c r="K32" s="7">
        <v>60</v>
      </c>
      <c r="L32" s="7" t="s">
        <v>73</v>
      </c>
      <c r="M32" s="7" t="s">
        <v>73</v>
      </c>
      <c r="N32" s="7" t="s">
        <v>73</v>
      </c>
      <c r="O32" s="7">
        <v>100</v>
      </c>
      <c r="P32" s="7" t="s">
        <v>73</v>
      </c>
      <c r="Q32" s="10"/>
      <c r="R32" s="10"/>
      <c r="S32" s="10"/>
      <c r="T32" s="10"/>
      <c r="U32" s="10"/>
      <c r="V32" s="10"/>
      <c r="W32" s="10"/>
      <c r="X32" s="10"/>
      <c r="Y32" s="10"/>
      <c r="Z32" s="10"/>
      <c r="AA32" s="10"/>
      <c r="AB32" s="10"/>
      <c r="AC32" s="10"/>
      <c r="AD32" s="10"/>
      <c r="AE32" s="10"/>
      <c r="AF32" s="10"/>
      <c r="AG32" s="11">
        <v>100</v>
      </c>
    </row>
    <row r="33" spans="1:33" s="11" customFormat="1" ht="15" customHeight="1" x14ac:dyDescent="0.3">
      <c r="A33" s="6" t="s">
        <v>130</v>
      </c>
      <c r="B33" s="16" t="s">
        <v>65</v>
      </c>
      <c r="C33" s="10" t="s">
        <v>66</v>
      </c>
      <c r="D33" s="10">
        <v>2</v>
      </c>
      <c r="E33" s="17" t="s">
        <v>131</v>
      </c>
      <c r="F33" s="16">
        <v>23</v>
      </c>
      <c r="G33" s="18">
        <v>0.8</v>
      </c>
      <c r="H33" s="18" t="s">
        <v>68</v>
      </c>
      <c r="I33" s="18" t="s">
        <v>69</v>
      </c>
      <c r="J33" s="19">
        <v>11</v>
      </c>
      <c r="K33" s="10">
        <v>30</v>
      </c>
      <c r="L33" s="19">
        <v>3.3</v>
      </c>
      <c r="M33" s="19">
        <v>11</v>
      </c>
      <c r="N33" s="20">
        <v>14</v>
      </c>
      <c r="O33" s="10">
        <v>100</v>
      </c>
      <c r="P33" s="20">
        <v>14</v>
      </c>
      <c r="Q33" s="20">
        <v>0</v>
      </c>
      <c r="R33" s="19">
        <v>100</v>
      </c>
      <c r="S33" s="20">
        <v>0</v>
      </c>
      <c r="T33" s="10">
        <v>0</v>
      </c>
      <c r="U33" s="19">
        <v>100</v>
      </c>
      <c r="V33" s="20">
        <v>0</v>
      </c>
      <c r="W33" s="10">
        <v>0</v>
      </c>
      <c r="X33" s="19">
        <v>100</v>
      </c>
      <c r="Y33" s="20">
        <v>0</v>
      </c>
      <c r="Z33" s="10">
        <v>0</v>
      </c>
      <c r="AA33" s="19">
        <v>100</v>
      </c>
      <c r="AB33" s="20">
        <v>0</v>
      </c>
      <c r="AC33" s="20">
        <v>0</v>
      </c>
      <c r="AD33" s="19">
        <v>100</v>
      </c>
      <c r="AE33" s="20">
        <v>0</v>
      </c>
      <c r="AF33" s="10"/>
      <c r="AG33" s="11">
        <v>100</v>
      </c>
    </row>
    <row r="34" spans="1:33" s="11" customFormat="1" x14ac:dyDescent="0.3">
      <c r="A34" s="7" t="s">
        <v>132</v>
      </c>
      <c r="B34" s="7" t="s">
        <v>84</v>
      </c>
      <c r="C34" s="7" t="s">
        <v>66</v>
      </c>
      <c r="D34" s="7">
        <v>3</v>
      </c>
      <c r="E34" s="21" t="s">
        <v>133</v>
      </c>
      <c r="F34" s="7">
        <v>1406</v>
      </c>
      <c r="G34" s="7">
        <v>1</v>
      </c>
      <c r="H34" s="7" t="s">
        <v>68</v>
      </c>
      <c r="I34" s="7" t="s">
        <v>80</v>
      </c>
      <c r="J34" s="7" t="s">
        <v>73</v>
      </c>
      <c r="K34" s="7">
        <v>100</v>
      </c>
      <c r="L34" s="7" t="s">
        <v>73</v>
      </c>
      <c r="M34" s="7" t="s">
        <v>73</v>
      </c>
      <c r="N34" s="7" t="s">
        <v>73</v>
      </c>
      <c r="O34" s="7">
        <v>100</v>
      </c>
      <c r="P34" s="7" t="s">
        <v>73</v>
      </c>
      <c r="Q34" s="10"/>
      <c r="R34" s="10"/>
      <c r="S34" s="10"/>
      <c r="T34" s="10"/>
      <c r="U34" s="10"/>
      <c r="V34" s="10"/>
      <c r="W34" s="10"/>
      <c r="X34" s="10"/>
      <c r="Y34" s="10"/>
      <c r="Z34" s="10"/>
      <c r="AA34" s="10"/>
      <c r="AB34" s="10"/>
      <c r="AC34" s="10"/>
      <c r="AD34" s="10"/>
      <c r="AE34" s="10"/>
      <c r="AF34" s="10"/>
      <c r="AG34" s="11">
        <v>100</v>
      </c>
    </row>
    <row r="35" spans="1:33" s="11" customFormat="1" x14ac:dyDescent="0.3">
      <c r="A35" s="7" t="s">
        <v>134</v>
      </c>
      <c r="B35" s="7" t="s">
        <v>84</v>
      </c>
      <c r="C35" s="7" t="s">
        <v>71</v>
      </c>
      <c r="D35" s="7">
        <v>3</v>
      </c>
      <c r="E35" s="21" t="s">
        <v>135</v>
      </c>
      <c r="F35" s="7">
        <v>1426</v>
      </c>
      <c r="G35" s="7">
        <v>1</v>
      </c>
      <c r="H35" s="7" t="s">
        <v>68</v>
      </c>
      <c r="I35" s="7" t="s">
        <v>80</v>
      </c>
      <c r="J35" s="7" t="s">
        <v>73</v>
      </c>
      <c r="K35" s="7">
        <v>100</v>
      </c>
      <c r="L35" s="7" t="s">
        <v>73</v>
      </c>
      <c r="M35" s="7" t="s">
        <v>73</v>
      </c>
      <c r="N35" s="7" t="s">
        <v>73</v>
      </c>
      <c r="O35" s="7">
        <v>100</v>
      </c>
      <c r="P35" s="7" t="s">
        <v>73</v>
      </c>
      <c r="Q35" s="10"/>
      <c r="R35" s="10"/>
      <c r="S35" s="10"/>
      <c r="T35" s="10"/>
      <c r="U35" s="10"/>
      <c r="V35" s="10"/>
      <c r="W35" s="10"/>
      <c r="X35" s="10"/>
      <c r="Y35" s="10"/>
      <c r="Z35" s="10"/>
      <c r="AA35" s="10"/>
      <c r="AB35" s="10"/>
      <c r="AC35" s="10"/>
      <c r="AD35" s="10"/>
      <c r="AE35" s="10"/>
      <c r="AF35" s="10"/>
      <c r="AG35" s="11">
        <v>100</v>
      </c>
    </row>
    <row r="36" spans="1:33" s="11" customFormat="1" x14ac:dyDescent="0.3">
      <c r="A36" s="7" t="s">
        <v>136</v>
      </c>
      <c r="B36" s="7" t="s">
        <v>84</v>
      </c>
      <c r="C36" s="7" t="s">
        <v>66</v>
      </c>
      <c r="D36" s="7">
        <v>3</v>
      </c>
      <c r="E36" s="21" t="s">
        <v>137</v>
      </c>
      <c r="F36" s="7">
        <v>587</v>
      </c>
      <c r="G36" s="7">
        <v>1</v>
      </c>
      <c r="H36" s="7" t="s">
        <v>68</v>
      </c>
      <c r="I36" s="7" t="s">
        <v>80</v>
      </c>
      <c r="J36" s="7" t="s">
        <v>73</v>
      </c>
      <c r="K36" s="7">
        <v>100</v>
      </c>
      <c r="L36" s="7" t="s">
        <v>73</v>
      </c>
      <c r="M36" s="7" t="s">
        <v>73</v>
      </c>
      <c r="N36" s="7" t="s">
        <v>73</v>
      </c>
      <c r="O36" s="7">
        <v>100</v>
      </c>
      <c r="P36" s="7" t="s">
        <v>73</v>
      </c>
      <c r="Q36" s="10">
        <v>3.4</v>
      </c>
      <c r="R36" s="10">
        <v>90</v>
      </c>
      <c r="S36" s="20">
        <v>3.06</v>
      </c>
      <c r="T36" s="10">
        <v>0.1</v>
      </c>
      <c r="U36" s="10">
        <v>90</v>
      </c>
      <c r="V36" s="20">
        <v>0.09</v>
      </c>
      <c r="W36" s="10">
        <v>0.2</v>
      </c>
      <c r="X36" s="10">
        <v>90</v>
      </c>
      <c r="Y36" s="20">
        <v>0.18</v>
      </c>
      <c r="Z36" s="10">
        <v>1.4</v>
      </c>
      <c r="AA36" s="10">
        <v>90</v>
      </c>
      <c r="AB36" s="20">
        <v>1.2599999999999998</v>
      </c>
      <c r="AC36" s="10"/>
      <c r="AD36" s="10"/>
      <c r="AE36" s="10"/>
      <c r="AF36" s="10"/>
      <c r="AG36" s="11">
        <v>100</v>
      </c>
    </row>
    <row r="37" spans="1:33" s="11" customFormat="1" ht="15" customHeight="1" x14ac:dyDescent="0.3">
      <c r="A37" s="7" t="s">
        <v>138</v>
      </c>
      <c r="B37" s="7" t="s">
        <v>70</v>
      </c>
      <c r="C37" s="7" t="s">
        <v>71</v>
      </c>
      <c r="D37" s="7">
        <v>2</v>
      </c>
      <c r="E37" s="21" t="s">
        <v>139</v>
      </c>
      <c r="F37" s="7">
        <v>1502</v>
      </c>
      <c r="G37" s="7">
        <v>0.7</v>
      </c>
      <c r="H37" s="7" t="s">
        <v>68</v>
      </c>
      <c r="I37" s="7" t="s">
        <v>69</v>
      </c>
      <c r="J37" s="7" t="s">
        <v>73</v>
      </c>
      <c r="K37" s="7">
        <v>60</v>
      </c>
      <c r="L37" s="7" t="s">
        <v>73</v>
      </c>
      <c r="M37" s="7" t="s">
        <v>73</v>
      </c>
      <c r="N37" s="7" t="s">
        <v>73</v>
      </c>
      <c r="O37" s="7">
        <v>100</v>
      </c>
      <c r="P37" s="7" t="s">
        <v>73</v>
      </c>
      <c r="Q37" s="10"/>
      <c r="R37" s="10"/>
      <c r="S37" s="10"/>
      <c r="T37" s="10"/>
      <c r="U37" s="10"/>
      <c r="V37" s="10"/>
      <c r="W37" s="10"/>
      <c r="X37" s="10"/>
      <c r="Y37" s="10"/>
      <c r="Z37" s="10"/>
      <c r="AA37" s="10"/>
      <c r="AB37" s="10"/>
      <c r="AC37" s="10"/>
      <c r="AD37" s="10"/>
      <c r="AE37" s="10"/>
      <c r="AF37" s="10"/>
      <c r="AG37" s="11">
        <v>100</v>
      </c>
    </row>
    <row r="38" spans="1:33" s="11" customFormat="1" ht="15" customHeight="1" x14ac:dyDescent="0.3">
      <c r="A38" s="6" t="s">
        <v>140</v>
      </c>
      <c r="B38" s="6" t="s">
        <v>65</v>
      </c>
      <c r="C38" s="10" t="s">
        <v>66</v>
      </c>
      <c r="D38" s="10">
        <v>2</v>
      </c>
      <c r="E38" s="22" t="s">
        <v>141</v>
      </c>
      <c r="F38" s="23">
        <v>201</v>
      </c>
      <c r="G38" s="24">
        <v>0.4</v>
      </c>
      <c r="H38" s="18" t="s">
        <v>68</v>
      </c>
      <c r="I38" s="18" t="s">
        <v>69</v>
      </c>
      <c r="J38" s="19">
        <v>6.2</v>
      </c>
      <c r="K38" s="23">
        <v>30</v>
      </c>
      <c r="L38" s="19">
        <v>1.86</v>
      </c>
      <c r="M38" s="19">
        <v>6.2</v>
      </c>
      <c r="N38" s="20">
        <v>3.7</v>
      </c>
      <c r="O38" s="10">
        <v>100</v>
      </c>
      <c r="P38" s="20">
        <v>3.7</v>
      </c>
      <c r="Q38" s="20">
        <v>0</v>
      </c>
      <c r="R38" s="19">
        <v>100</v>
      </c>
      <c r="S38" s="20">
        <v>0</v>
      </c>
      <c r="T38" s="10">
        <v>0</v>
      </c>
      <c r="U38" s="19">
        <v>100</v>
      </c>
      <c r="V38" s="20">
        <v>0</v>
      </c>
      <c r="W38" s="10">
        <v>0</v>
      </c>
      <c r="X38" s="19">
        <v>100</v>
      </c>
      <c r="Y38" s="20">
        <v>0</v>
      </c>
      <c r="Z38" s="10">
        <v>0</v>
      </c>
      <c r="AA38" s="19">
        <v>100</v>
      </c>
      <c r="AB38" s="20">
        <v>0</v>
      </c>
      <c r="AC38" s="20">
        <v>0</v>
      </c>
      <c r="AD38" s="19">
        <v>100</v>
      </c>
      <c r="AE38" s="20">
        <v>0</v>
      </c>
      <c r="AF38" s="10"/>
      <c r="AG38" s="11">
        <v>100</v>
      </c>
    </row>
    <row r="39" spans="1:33" s="11" customFormat="1" ht="15" customHeight="1" x14ac:dyDescent="0.3">
      <c r="A39" s="6" t="s">
        <v>142</v>
      </c>
      <c r="B39" s="10" t="s">
        <v>143</v>
      </c>
      <c r="C39" s="7" t="s">
        <v>71</v>
      </c>
      <c r="D39" s="10">
        <v>1</v>
      </c>
      <c r="E39" s="17" t="s">
        <v>144</v>
      </c>
      <c r="F39" s="10">
        <v>193</v>
      </c>
      <c r="G39" s="18">
        <v>0.5</v>
      </c>
      <c r="H39" s="18" t="s">
        <v>68</v>
      </c>
      <c r="I39" s="18" t="s">
        <v>69</v>
      </c>
      <c r="J39" s="19">
        <v>12</v>
      </c>
      <c r="K39" s="10">
        <v>15</v>
      </c>
      <c r="L39" s="19">
        <v>1.8</v>
      </c>
      <c r="M39" s="19" t="s">
        <v>145</v>
      </c>
      <c r="N39" s="20">
        <v>6</v>
      </c>
      <c r="O39" s="10">
        <v>50</v>
      </c>
      <c r="P39" s="20">
        <v>3</v>
      </c>
      <c r="Q39" s="10">
        <v>9</v>
      </c>
      <c r="R39" s="19">
        <v>100</v>
      </c>
      <c r="S39" s="20">
        <v>9</v>
      </c>
      <c r="T39" s="10">
        <v>4</v>
      </c>
      <c r="U39" s="19">
        <v>100</v>
      </c>
      <c r="V39" s="20">
        <v>4</v>
      </c>
      <c r="W39" s="10">
        <v>24</v>
      </c>
      <c r="X39" s="19">
        <v>100</v>
      </c>
      <c r="Y39" s="20">
        <v>24</v>
      </c>
      <c r="Z39" s="10">
        <v>0</v>
      </c>
      <c r="AA39" s="19">
        <v>100</v>
      </c>
      <c r="AB39" s="20">
        <v>0</v>
      </c>
      <c r="AC39" s="10">
        <v>0</v>
      </c>
      <c r="AD39" s="19">
        <v>100</v>
      </c>
      <c r="AE39" s="20">
        <v>0</v>
      </c>
      <c r="AF39" s="10"/>
      <c r="AG39" s="11">
        <v>100</v>
      </c>
    </row>
    <row r="40" spans="1:33" s="11" customFormat="1" ht="15" customHeight="1" x14ac:dyDescent="0.3">
      <c r="A40" s="6" t="s">
        <v>146</v>
      </c>
      <c r="B40" s="10" t="s">
        <v>143</v>
      </c>
      <c r="C40" s="7" t="s">
        <v>71</v>
      </c>
      <c r="D40" s="10">
        <v>1</v>
      </c>
      <c r="E40" s="17" t="s">
        <v>147</v>
      </c>
      <c r="F40" s="10">
        <v>194</v>
      </c>
      <c r="G40" s="18">
        <v>0.5</v>
      </c>
      <c r="H40" s="18" t="s">
        <v>68</v>
      </c>
      <c r="I40" s="18" t="s">
        <v>69</v>
      </c>
      <c r="J40" s="19">
        <v>7</v>
      </c>
      <c r="K40" s="10">
        <v>15</v>
      </c>
      <c r="L40" s="19">
        <v>1.05</v>
      </c>
      <c r="M40" s="19" t="s">
        <v>145</v>
      </c>
      <c r="N40" s="20">
        <v>3</v>
      </c>
      <c r="O40" s="10">
        <v>50</v>
      </c>
      <c r="P40" s="20">
        <v>1.5</v>
      </c>
      <c r="Q40" s="10">
        <v>6</v>
      </c>
      <c r="R40" s="19">
        <v>100</v>
      </c>
      <c r="S40" s="20">
        <v>6</v>
      </c>
      <c r="T40" s="10">
        <v>3</v>
      </c>
      <c r="U40" s="19">
        <v>100</v>
      </c>
      <c r="V40" s="20">
        <v>3</v>
      </c>
      <c r="W40" s="10">
        <v>16</v>
      </c>
      <c r="X40" s="19">
        <v>100</v>
      </c>
      <c r="Y40" s="20">
        <v>16</v>
      </c>
      <c r="Z40" s="10">
        <v>0</v>
      </c>
      <c r="AA40" s="19">
        <v>100</v>
      </c>
      <c r="AB40" s="20">
        <v>0</v>
      </c>
      <c r="AC40" s="10">
        <v>0</v>
      </c>
      <c r="AD40" s="19">
        <v>100</v>
      </c>
      <c r="AE40" s="20">
        <v>0</v>
      </c>
      <c r="AF40" s="10"/>
      <c r="AG40" s="11">
        <v>100</v>
      </c>
    </row>
    <row r="41" spans="1:33" s="11" customFormat="1" ht="15" customHeight="1" x14ac:dyDescent="0.3">
      <c r="A41" s="7" t="s">
        <v>148</v>
      </c>
      <c r="B41" s="7" t="s">
        <v>105</v>
      </c>
      <c r="C41" s="7" t="s">
        <v>71</v>
      </c>
      <c r="D41" s="7">
        <v>2</v>
      </c>
      <c r="E41" s="21" t="s">
        <v>149</v>
      </c>
      <c r="F41" s="7">
        <v>1470</v>
      </c>
      <c r="G41" s="7">
        <v>0.7</v>
      </c>
      <c r="H41" s="7" t="s">
        <v>68</v>
      </c>
      <c r="I41" s="7" t="s">
        <v>69</v>
      </c>
      <c r="J41" s="7" t="s">
        <v>73</v>
      </c>
      <c r="K41" s="7">
        <v>60</v>
      </c>
      <c r="L41" s="7" t="s">
        <v>73</v>
      </c>
      <c r="M41" s="7" t="s">
        <v>73</v>
      </c>
      <c r="N41" s="7" t="s">
        <v>73</v>
      </c>
      <c r="O41" s="7">
        <v>100</v>
      </c>
      <c r="P41" s="7" t="s">
        <v>73</v>
      </c>
      <c r="Q41" s="10"/>
      <c r="R41" s="10"/>
      <c r="S41" s="10"/>
      <c r="T41" s="10"/>
      <c r="U41" s="10"/>
      <c r="V41" s="10"/>
      <c r="W41" s="10"/>
      <c r="X41" s="10"/>
      <c r="Y41" s="10"/>
      <c r="Z41" s="10"/>
      <c r="AA41" s="10"/>
      <c r="AB41" s="10"/>
      <c r="AC41" s="10"/>
      <c r="AD41" s="10"/>
      <c r="AE41" s="10"/>
      <c r="AF41" s="10"/>
      <c r="AG41" s="11">
        <v>100</v>
      </c>
    </row>
    <row r="42" spans="1:33" s="11" customFormat="1" ht="15" customHeight="1" x14ac:dyDescent="0.3">
      <c r="A42" s="7" t="s">
        <v>150</v>
      </c>
      <c r="B42" s="7" t="s">
        <v>105</v>
      </c>
      <c r="C42" s="7" t="s">
        <v>66</v>
      </c>
      <c r="D42" s="7">
        <v>2</v>
      </c>
      <c r="E42" s="21" t="s">
        <v>151</v>
      </c>
      <c r="F42" s="7">
        <v>1450</v>
      </c>
      <c r="G42" s="7">
        <v>0.7</v>
      </c>
      <c r="H42" s="7" t="s">
        <v>68</v>
      </c>
      <c r="I42" s="7" t="s">
        <v>69</v>
      </c>
      <c r="J42" s="7" t="s">
        <v>73</v>
      </c>
      <c r="K42" s="7">
        <v>30</v>
      </c>
      <c r="L42" s="7" t="s">
        <v>73</v>
      </c>
      <c r="M42" s="7" t="s">
        <v>73</v>
      </c>
      <c r="N42" s="7" t="s">
        <v>73</v>
      </c>
      <c r="O42" s="7">
        <v>100</v>
      </c>
      <c r="P42" s="7" t="s">
        <v>73</v>
      </c>
      <c r="Q42" s="10"/>
      <c r="R42" s="10"/>
      <c r="S42" s="10"/>
      <c r="T42" s="10"/>
      <c r="U42" s="10"/>
      <c r="V42" s="10"/>
      <c r="W42" s="10"/>
      <c r="X42" s="10"/>
      <c r="Y42" s="10"/>
      <c r="Z42" s="10"/>
      <c r="AA42" s="10"/>
      <c r="AB42" s="10"/>
      <c r="AC42" s="10"/>
      <c r="AD42" s="10"/>
      <c r="AE42" s="10"/>
      <c r="AF42" s="10"/>
      <c r="AG42" s="11">
        <v>100</v>
      </c>
    </row>
    <row r="43" spans="1:33" s="11" customFormat="1" x14ac:dyDescent="0.3">
      <c r="A43" s="7" t="s">
        <v>152</v>
      </c>
      <c r="B43" s="7" t="s">
        <v>105</v>
      </c>
      <c r="C43" s="7" t="s">
        <v>66</v>
      </c>
      <c r="D43" s="7">
        <v>2</v>
      </c>
      <c r="E43" s="21" t="s">
        <v>153</v>
      </c>
      <c r="F43" s="7">
        <v>1451</v>
      </c>
      <c r="G43" s="7">
        <v>0.7</v>
      </c>
      <c r="H43" s="7" t="s">
        <v>68</v>
      </c>
      <c r="I43" s="7" t="s">
        <v>69</v>
      </c>
      <c r="J43" s="7" t="s">
        <v>73</v>
      </c>
      <c r="K43" s="7">
        <v>30</v>
      </c>
      <c r="L43" s="7" t="s">
        <v>73</v>
      </c>
      <c r="M43" s="7" t="s">
        <v>73</v>
      </c>
      <c r="N43" s="7" t="s">
        <v>73</v>
      </c>
      <c r="O43" s="7">
        <v>100</v>
      </c>
      <c r="P43" s="7" t="s">
        <v>73</v>
      </c>
      <c r="Q43" s="10"/>
      <c r="R43" s="10"/>
      <c r="S43" s="10"/>
      <c r="T43" s="10"/>
      <c r="U43" s="10"/>
      <c r="V43" s="10"/>
      <c r="W43" s="10"/>
      <c r="X43" s="10"/>
      <c r="Y43" s="10"/>
      <c r="Z43" s="10"/>
      <c r="AA43" s="10"/>
      <c r="AB43" s="10"/>
      <c r="AC43" s="10"/>
      <c r="AD43" s="10"/>
      <c r="AE43" s="10"/>
      <c r="AF43" s="10"/>
      <c r="AG43" s="11">
        <v>100</v>
      </c>
    </row>
    <row r="44" spans="1:33" s="11" customFormat="1" ht="15" customHeight="1" x14ac:dyDescent="0.3">
      <c r="A44" s="7" t="s">
        <v>154</v>
      </c>
      <c r="B44" s="7" t="s">
        <v>105</v>
      </c>
      <c r="C44" s="7" t="s">
        <v>66</v>
      </c>
      <c r="D44" s="7">
        <v>2</v>
      </c>
      <c r="E44" s="21" t="s">
        <v>155</v>
      </c>
      <c r="F44" s="7">
        <v>1452</v>
      </c>
      <c r="G44" s="7">
        <v>0.7</v>
      </c>
      <c r="H44" s="7" t="s">
        <v>68</v>
      </c>
      <c r="I44" s="7" t="s">
        <v>69</v>
      </c>
      <c r="J44" s="7" t="s">
        <v>73</v>
      </c>
      <c r="K44" s="7">
        <v>30</v>
      </c>
      <c r="L44" s="7" t="s">
        <v>73</v>
      </c>
      <c r="M44" s="7" t="s">
        <v>73</v>
      </c>
      <c r="N44" s="7" t="s">
        <v>73</v>
      </c>
      <c r="O44" s="7">
        <v>100</v>
      </c>
      <c r="P44" s="7" t="s">
        <v>73</v>
      </c>
      <c r="Q44" s="10"/>
      <c r="R44" s="10"/>
      <c r="S44" s="10"/>
      <c r="T44" s="10"/>
      <c r="U44" s="10"/>
      <c r="V44" s="10"/>
      <c r="W44" s="10"/>
      <c r="X44" s="10"/>
      <c r="Y44" s="10"/>
      <c r="Z44" s="10"/>
      <c r="AA44" s="10"/>
      <c r="AB44" s="10"/>
      <c r="AC44" s="10"/>
      <c r="AD44" s="10"/>
      <c r="AE44" s="10"/>
      <c r="AF44" s="10"/>
      <c r="AG44" s="11">
        <v>100</v>
      </c>
    </row>
    <row r="45" spans="1:33" s="11" customFormat="1" ht="15" customHeight="1" x14ac:dyDescent="0.3">
      <c r="A45" s="7" t="s">
        <v>156</v>
      </c>
      <c r="B45" s="7" t="s">
        <v>70</v>
      </c>
      <c r="C45" s="7" t="s">
        <v>66</v>
      </c>
      <c r="D45" s="7">
        <v>2</v>
      </c>
      <c r="E45" s="21" t="s">
        <v>157</v>
      </c>
      <c r="F45" s="7">
        <v>1113</v>
      </c>
      <c r="G45" s="7">
        <v>0.7</v>
      </c>
      <c r="H45" s="7" t="s">
        <v>68</v>
      </c>
      <c r="I45" s="7" t="s">
        <v>69</v>
      </c>
      <c r="J45" s="7" t="s">
        <v>73</v>
      </c>
      <c r="K45" s="7">
        <v>30</v>
      </c>
      <c r="L45" s="7" t="s">
        <v>73</v>
      </c>
      <c r="M45" s="7" t="s">
        <v>73</v>
      </c>
      <c r="N45" s="7" t="s">
        <v>73</v>
      </c>
      <c r="O45" s="7">
        <v>100</v>
      </c>
      <c r="P45" s="7" t="s">
        <v>73</v>
      </c>
      <c r="Q45" s="10"/>
      <c r="R45" s="10"/>
      <c r="S45" s="10"/>
      <c r="T45" s="10"/>
      <c r="U45" s="10"/>
      <c r="V45" s="10"/>
      <c r="W45" s="10"/>
      <c r="X45" s="10"/>
      <c r="Y45" s="10"/>
      <c r="Z45" s="10"/>
      <c r="AA45" s="10"/>
      <c r="AB45" s="10"/>
      <c r="AC45" s="10"/>
      <c r="AD45" s="10"/>
      <c r="AE45" s="10"/>
      <c r="AF45" s="10"/>
      <c r="AG45" s="11">
        <v>100</v>
      </c>
    </row>
    <row r="46" spans="1:33" s="11" customFormat="1" ht="15" customHeight="1" x14ac:dyDescent="0.3">
      <c r="A46" s="7" t="s">
        <v>158</v>
      </c>
      <c r="B46" s="7" t="s">
        <v>70</v>
      </c>
      <c r="C46" s="7" t="s">
        <v>66</v>
      </c>
      <c r="D46" s="7">
        <v>2</v>
      </c>
      <c r="E46" s="21" t="s">
        <v>159</v>
      </c>
      <c r="F46" s="7">
        <v>1299</v>
      </c>
      <c r="G46" s="7">
        <v>0.7</v>
      </c>
      <c r="H46" s="7" t="s">
        <v>68</v>
      </c>
      <c r="I46" s="7" t="s">
        <v>69</v>
      </c>
      <c r="J46" s="7" t="s">
        <v>73</v>
      </c>
      <c r="K46" s="7">
        <v>30</v>
      </c>
      <c r="L46" s="7" t="s">
        <v>73</v>
      </c>
      <c r="M46" s="7" t="s">
        <v>73</v>
      </c>
      <c r="N46" s="7" t="s">
        <v>73</v>
      </c>
      <c r="O46" s="7">
        <v>100</v>
      </c>
      <c r="P46" s="7" t="s">
        <v>73</v>
      </c>
      <c r="Q46" s="10"/>
      <c r="R46" s="10"/>
      <c r="S46" s="10"/>
      <c r="T46" s="10"/>
      <c r="U46" s="10"/>
      <c r="V46" s="10"/>
      <c r="W46" s="10"/>
      <c r="X46" s="10"/>
      <c r="Y46" s="10"/>
      <c r="Z46" s="10"/>
      <c r="AA46" s="10"/>
      <c r="AB46" s="10"/>
      <c r="AC46" s="10"/>
      <c r="AD46" s="10"/>
      <c r="AE46" s="10"/>
      <c r="AF46" s="10"/>
      <c r="AG46" s="11">
        <v>100</v>
      </c>
    </row>
    <row r="47" spans="1:33" s="11" customFormat="1" ht="15" customHeight="1" x14ac:dyDescent="0.3">
      <c r="A47" s="7" t="s">
        <v>160</v>
      </c>
      <c r="B47" s="7" t="s">
        <v>84</v>
      </c>
      <c r="C47" s="7" t="s">
        <v>66</v>
      </c>
      <c r="D47" s="7">
        <v>2</v>
      </c>
      <c r="E47" s="21" t="s">
        <v>161</v>
      </c>
      <c r="F47" s="7">
        <v>1305</v>
      </c>
      <c r="G47" s="7">
        <v>1</v>
      </c>
      <c r="H47" s="7" t="s">
        <v>68</v>
      </c>
      <c r="I47" s="7" t="s">
        <v>80</v>
      </c>
      <c r="J47" s="7" t="s">
        <v>73</v>
      </c>
      <c r="K47" s="7">
        <v>60</v>
      </c>
      <c r="L47" s="7" t="s">
        <v>73</v>
      </c>
      <c r="M47" s="7" t="s">
        <v>73</v>
      </c>
      <c r="N47" s="7" t="s">
        <v>73</v>
      </c>
      <c r="O47" s="7">
        <v>100</v>
      </c>
      <c r="P47" s="7" t="s">
        <v>73</v>
      </c>
      <c r="Q47" s="10"/>
      <c r="R47" s="10"/>
      <c r="S47" s="10"/>
      <c r="T47" s="10"/>
      <c r="U47" s="10"/>
      <c r="V47" s="10"/>
      <c r="W47" s="10"/>
      <c r="X47" s="10"/>
      <c r="Y47" s="10"/>
      <c r="Z47" s="10"/>
      <c r="AA47" s="10"/>
      <c r="AB47" s="10"/>
      <c r="AC47" s="10"/>
      <c r="AD47" s="10"/>
      <c r="AE47" s="10"/>
      <c r="AF47" s="10"/>
      <c r="AG47" s="11">
        <v>100</v>
      </c>
    </row>
    <row r="48" spans="1:33" s="11" customFormat="1" ht="15" customHeight="1" x14ac:dyDescent="0.3">
      <c r="A48" s="7" t="s">
        <v>162</v>
      </c>
      <c r="B48" s="7" t="s">
        <v>105</v>
      </c>
      <c r="C48" s="7" t="s">
        <v>66</v>
      </c>
      <c r="D48" s="7">
        <v>2</v>
      </c>
      <c r="E48" s="21" t="s">
        <v>163</v>
      </c>
      <c r="F48" s="7">
        <v>1410</v>
      </c>
      <c r="G48" s="7">
        <v>0.7</v>
      </c>
      <c r="H48" s="7" t="s">
        <v>68</v>
      </c>
      <c r="I48" s="7" t="s">
        <v>69</v>
      </c>
      <c r="J48" s="7" t="s">
        <v>73</v>
      </c>
      <c r="K48" s="7">
        <v>30</v>
      </c>
      <c r="L48" s="7" t="s">
        <v>73</v>
      </c>
      <c r="M48" s="7" t="s">
        <v>73</v>
      </c>
      <c r="N48" s="7" t="s">
        <v>73</v>
      </c>
      <c r="O48" s="7">
        <v>100</v>
      </c>
      <c r="P48" s="7" t="s">
        <v>73</v>
      </c>
      <c r="Q48" s="10"/>
      <c r="R48" s="10"/>
      <c r="S48" s="10"/>
      <c r="T48" s="10"/>
      <c r="U48" s="10"/>
      <c r="V48" s="10"/>
      <c r="W48" s="10"/>
      <c r="X48" s="10"/>
      <c r="Y48" s="10"/>
      <c r="Z48" s="10"/>
      <c r="AA48" s="10"/>
      <c r="AB48" s="10"/>
      <c r="AC48" s="10"/>
      <c r="AD48" s="10"/>
      <c r="AE48" s="10"/>
      <c r="AF48" s="10"/>
      <c r="AG48" s="11">
        <v>100</v>
      </c>
    </row>
    <row r="49" spans="1:33" s="11" customFormat="1" ht="15" customHeight="1" x14ac:dyDescent="0.3">
      <c r="A49" s="7" t="s">
        <v>164</v>
      </c>
      <c r="B49" s="7" t="s">
        <v>70</v>
      </c>
      <c r="C49" s="7" t="s">
        <v>66</v>
      </c>
      <c r="D49" s="7">
        <v>2</v>
      </c>
      <c r="E49" s="21" t="s">
        <v>165</v>
      </c>
      <c r="F49" s="7">
        <v>1314</v>
      </c>
      <c r="G49" s="7">
        <v>0.7</v>
      </c>
      <c r="H49" s="7" t="s">
        <v>68</v>
      </c>
      <c r="I49" s="7" t="s">
        <v>69</v>
      </c>
      <c r="J49" s="7" t="s">
        <v>73</v>
      </c>
      <c r="K49" s="7">
        <v>30</v>
      </c>
      <c r="L49" s="7" t="s">
        <v>73</v>
      </c>
      <c r="M49" s="7" t="s">
        <v>73</v>
      </c>
      <c r="N49" s="7" t="s">
        <v>73</v>
      </c>
      <c r="O49" s="7">
        <v>100</v>
      </c>
      <c r="P49" s="7" t="s">
        <v>73</v>
      </c>
      <c r="Q49" s="10"/>
      <c r="R49" s="10"/>
      <c r="S49" s="10"/>
      <c r="T49" s="10"/>
      <c r="U49" s="10"/>
      <c r="V49" s="10"/>
      <c r="W49" s="10"/>
      <c r="X49" s="10"/>
      <c r="Y49" s="10"/>
      <c r="Z49" s="10"/>
      <c r="AA49" s="10"/>
      <c r="AB49" s="10"/>
      <c r="AC49" s="10"/>
      <c r="AD49" s="10"/>
      <c r="AE49" s="10"/>
      <c r="AF49" s="10"/>
      <c r="AG49" s="11">
        <v>100</v>
      </c>
    </row>
    <row r="50" spans="1:33" s="11" customFormat="1" ht="30" customHeight="1" x14ac:dyDescent="0.3">
      <c r="A50" s="7" t="s">
        <v>166</v>
      </c>
      <c r="B50" s="7" t="s">
        <v>167</v>
      </c>
      <c r="C50" s="7" t="s">
        <v>66</v>
      </c>
      <c r="D50" s="7">
        <v>2</v>
      </c>
      <c r="E50" s="21" t="s">
        <v>168</v>
      </c>
      <c r="F50" s="7">
        <v>1481</v>
      </c>
      <c r="G50" s="7">
        <v>1</v>
      </c>
      <c r="H50" s="7" t="s">
        <v>68</v>
      </c>
      <c r="I50" s="7" t="s">
        <v>80</v>
      </c>
      <c r="J50" s="7" t="s">
        <v>73</v>
      </c>
      <c r="K50" s="7">
        <v>60</v>
      </c>
      <c r="L50" s="7" t="s">
        <v>73</v>
      </c>
      <c r="M50" s="7" t="s">
        <v>73</v>
      </c>
      <c r="N50" s="7" t="s">
        <v>73</v>
      </c>
      <c r="O50" s="7">
        <v>100</v>
      </c>
      <c r="P50" s="7" t="s">
        <v>73</v>
      </c>
      <c r="Q50" s="10"/>
      <c r="R50" s="10"/>
      <c r="S50" s="10"/>
      <c r="T50" s="10"/>
      <c r="U50" s="10"/>
      <c r="V50" s="10"/>
      <c r="W50" s="10"/>
      <c r="X50" s="10"/>
      <c r="Y50" s="10"/>
      <c r="Z50" s="10"/>
      <c r="AA50" s="10"/>
      <c r="AB50" s="10"/>
      <c r="AC50" s="10"/>
      <c r="AD50" s="10"/>
      <c r="AE50" s="10"/>
      <c r="AF50" s="10"/>
      <c r="AG50" s="11">
        <v>100</v>
      </c>
    </row>
    <row r="51" spans="1:33" s="11" customFormat="1" ht="15" customHeight="1" x14ac:dyDescent="0.3">
      <c r="A51" s="7" t="s">
        <v>169</v>
      </c>
      <c r="B51" s="7" t="s">
        <v>70</v>
      </c>
      <c r="C51" s="7" t="s">
        <v>66</v>
      </c>
      <c r="D51" s="7">
        <v>2</v>
      </c>
      <c r="E51" s="21" t="s">
        <v>170</v>
      </c>
      <c r="F51" s="7">
        <v>1482</v>
      </c>
      <c r="G51" s="7">
        <v>0.7</v>
      </c>
      <c r="H51" s="7" t="s">
        <v>68</v>
      </c>
      <c r="I51" s="7" t="s">
        <v>69</v>
      </c>
      <c r="J51" s="7" t="s">
        <v>73</v>
      </c>
      <c r="K51" s="7">
        <v>30</v>
      </c>
      <c r="L51" s="7" t="s">
        <v>73</v>
      </c>
      <c r="M51" s="7" t="s">
        <v>73</v>
      </c>
      <c r="N51" s="7" t="s">
        <v>73</v>
      </c>
      <c r="O51" s="7">
        <v>100</v>
      </c>
      <c r="P51" s="7" t="s">
        <v>73</v>
      </c>
      <c r="Q51" s="10"/>
      <c r="R51" s="10"/>
      <c r="S51" s="10"/>
      <c r="T51" s="10"/>
      <c r="U51" s="10"/>
      <c r="V51" s="10"/>
      <c r="W51" s="10"/>
      <c r="X51" s="10"/>
      <c r="Y51" s="10"/>
      <c r="Z51" s="10"/>
      <c r="AA51" s="10"/>
      <c r="AB51" s="10"/>
      <c r="AC51" s="10"/>
      <c r="AD51" s="10"/>
      <c r="AE51" s="10"/>
      <c r="AF51" s="10"/>
      <c r="AG51" s="11">
        <v>100</v>
      </c>
    </row>
    <row r="52" spans="1:33" s="11" customFormat="1" ht="15" customHeight="1" x14ac:dyDescent="0.3">
      <c r="A52" s="7" t="s">
        <v>171</v>
      </c>
      <c r="B52" s="7" t="s">
        <v>167</v>
      </c>
      <c r="C52" s="7" t="s">
        <v>66</v>
      </c>
      <c r="D52" s="7">
        <v>2</v>
      </c>
      <c r="E52" s="21" t="s">
        <v>172</v>
      </c>
      <c r="F52" s="7">
        <v>1321</v>
      </c>
      <c r="G52" s="7">
        <v>1</v>
      </c>
      <c r="H52" s="7" t="s">
        <v>68</v>
      </c>
      <c r="I52" s="7" t="s">
        <v>80</v>
      </c>
      <c r="J52" s="7" t="s">
        <v>73</v>
      </c>
      <c r="K52" s="7">
        <v>60</v>
      </c>
      <c r="L52" s="7" t="s">
        <v>73</v>
      </c>
      <c r="M52" s="7" t="s">
        <v>73</v>
      </c>
      <c r="N52" s="7" t="s">
        <v>73</v>
      </c>
      <c r="O52" s="7">
        <v>100</v>
      </c>
      <c r="P52" s="7" t="s">
        <v>73</v>
      </c>
      <c r="Q52" s="10"/>
      <c r="R52" s="10"/>
      <c r="S52" s="10"/>
      <c r="T52" s="10"/>
      <c r="U52" s="10"/>
      <c r="V52" s="10"/>
      <c r="W52" s="10"/>
      <c r="X52" s="10"/>
      <c r="Y52" s="10"/>
      <c r="Z52" s="10"/>
      <c r="AA52" s="10"/>
      <c r="AB52" s="10"/>
      <c r="AC52" s="10"/>
      <c r="AD52" s="10"/>
      <c r="AE52" s="10"/>
      <c r="AF52" s="10"/>
      <c r="AG52" s="11">
        <v>100</v>
      </c>
    </row>
    <row r="53" spans="1:33" s="11" customFormat="1" ht="30" customHeight="1" x14ac:dyDescent="0.3">
      <c r="A53" s="7" t="s">
        <v>173</v>
      </c>
      <c r="B53" s="7" t="s">
        <v>70</v>
      </c>
      <c r="C53" s="7" t="s">
        <v>66</v>
      </c>
      <c r="D53" s="7">
        <v>2</v>
      </c>
      <c r="E53" s="21" t="s">
        <v>174</v>
      </c>
      <c r="F53" s="7">
        <v>1480</v>
      </c>
      <c r="G53" s="7">
        <v>0.7</v>
      </c>
      <c r="H53" s="7" t="s">
        <v>68</v>
      </c>
      <c r="I53" s="7" t="s">
        <v>69</v>
      </c>
      <c r="J53" s="7" t="s">
        <v>73</v>
      </c>
      <c r="K53" s="7">
        <v>30</v>
      </c>
      <c r="L53" s="7" t="s">
        <v>73</v>
      </c>
      <c r="M53" s="7" t="s">
        <v>73</v>
      </c>
      <c r="N53" s="7" t="s">
        <v>73</v>
      </c>
      <c r="O53" s="7">
        <v>100</v>
      </c>
      <c r="P53" s="7" t="s">
        <v>73</v>
      </c>
      <c r="Q53" s="10"/>
      <c r="R53" s="10"/>
      <c r="S53" s="10"/>
      <c r="T53" s="10"/>
      <c r="U53" s="10"/>
      <c r="V53" s="10"/>
      <c r="W53" s="10"/>
      <c r="X53" s="10"/>
      <c r="Y53" s="10"/>
      <c r="Z53" s="10"/>
      <c r="AA53" s="10"/>
      <c r="AB53" s="10"/>
      <c r="AC53" s="10"/>
      <c r="AD53" s="10"/>
      <c r="AE53" s="10"/>
      <c r="AF53" s="10"/>
      <c r="AG53" s="11">
        <v>100</v>
      </c>
    </row>
    <row r="54" spans="1:33" s="11" customFormat="1" ht="15" customHeight="1" x14ac:dyDescent="0.3">
      <c r="A54" s="6" t="s">
        <v>175</v>
      </c>
      <c r="B54" s="10" t="s">
        <v>65</v>
      </c>
      <c r="C54" s="10" t="s">
        <v>66</v>
      </c>
      <c r="D54" s="10">
        <v>2</v>
      </c>
      <c r="E54" s="22" t="s">
        <v>176</v>
      </c>
      <c r="F54" s="18">
        <v>34</v>
      </c>
      <c r="G54" s="27">
        <v>0.7</v>
      </c>
      <c r="H54" s="18" t="s">
        <v>68</v>
      </c>
      <c r="I54" s="18" t="s">
        <v>69</v>
      </c>
      <c r="J54" s="19">
        <v>7.5</v>
      </c>
      <c r="K54" s="18">
        <v>30</v>
      </c>
      <c r="L54" s="19">
        <v>2.25</v>
      </c>
      <c r="M54" s="19">
        <v>7.5</v>
      </c>
      <c r="N54" s="20">
        <v>4</v>
      </c>
      <c r="O54" s="10">
        <v>100</v>
      </c>
      <c r="P54" s="20">
        <v>4</v>
      </c>
      <c r="Q54" s="20">
        <v>0</v>
      </c>
      <c r="R54" s="19">
        <v>100</v>
      </c>
      <c r="S54" s="20">
        <v>0</v>
      </c>
      <c r="T54" s="10">
        <v>0</v>
      </c>
      <c r="U54" s="19">
        <v>100</v>
      </c>
      <c r="V54" s="20">
        <v>0</v>
      </c>
      <c r="W54" s="20">
        <v>0</v>
      </c>
      <c r="X54" s="19">
        <v>100</v>
      </c>
      <c r="Y54" s="20">
        <v>0</v>
      </c>
      <c r="Z54" s="20">
        <v>0</v>
      </c>
      <c r="AA54" s="19">
        <v>100</v>
      </c>
      <c r="AB54" s="20">
        <v>0</v>
      </c>
      <c r="AC54" s="20">
        <v>0</v>
      </c>
      <c r="AD54" s="19">
        <v>100</v>
      </c>
      <c r="AE54" s="20">
        <v>0</v>
      </c>
      <c r="AF54" s="10"/>
      <c r="AG54" s="11">
        <v>100</v>
      </c>
    </row>
    <row r="55" spans="1:33" s="11" customFormat="1" ht="15" customHeight="1" x14ac:dyDescent="0.3">
      <c r="A55" s="6" t="s">
        <v>177</v>
      </c>
      <c r="B55" s="16" t="s">
        <v>65</v>
      </c>
      <c r="C55" s="10" t="s">
        <v>66</v>
      </c>
      <c r="D55" s="10">
        <v>1</v>
      </c>
      <c r="E55" s="17" t="s">
        <v>178</v>
      </c>
      <c r="F55" s="16">
        <v>27</v>
      </c>
      <c r="G55" s="18">
        <v>0.8</v>
      </c>
      <c r="H55" s="18" t="s">
        <v>68</v>
      </c>
      <c r="I55" s="18" t="s">
        <v>69</v>
      </c>
      <c r="J55" s="19">
        <v>6.6</v>
      </c>
      <c r="K55" s="10">
        <v>30</v>
      </c>
      <c r="L55" s="19">
        <v>1.98</v>
      </c>
      <c r="M55" s="19">
        <v>6.6</v>
      </c>
      <c r="N55" s="20">
        <v>3.5</v>
      </c>
      <c r="O55" s="10">
        <v>100</v>
      </c>
      <c r="P55" s="20">
        <v>3.5</v>
      </c>
      <c r="Q55" s="20">
        <v>0</v>
      </c>
      <c r="R55" s="19">
        <v>100</v>
      </c>
      <c r="S55" s="20">
        <v>0</v>
      </c>
      <c r="T55" s="10">
        <v>0</v>
      </c>
      <c r="U55" s="19">
        <v>100</v>
      </c>
      <c r="V55" s="20">
        <v>0</v>
      </c>
      <c r="W55" s="20">
        <v>0</v>
      </c>
      <c r="X55" s="19">
        <v>100</v>
      </c>
      <c r="Y55" s="20">
        <v>0</v>
      </c>
      <c r="Z55" s="20">
        <v>0</v>
      </c>
      <c r="AA55" s="19">
        <v>100</v>
      </c>
      <c r="AB55" s="20">
        <v>0</v>
      </c>
      <c r="AC55" s="20">
        <v>0</v>
      </c>
      <c r="AD55" s="19">
        <v>100</v>
      </c>
      <c r="AE55" s="20">
        <v>0</v>
      </c>
      <c r="AF55" s="10"/>
      <c r="AG55" s="11">
        <v>100</v>
      </c>
    </row>
    <row r="56" spans="1:33" s="11" customFormat="1" ht="15" customHeight="1" x14ac:dyDescent="0.3">
      <c r="A56" s="7" t="s">
        <v>179</v>
      </c>
      <c r="B56" s="7" t="s">
        <v>84</v>
      </c>
      <c r="C56" s="7" t="s">
        <v>71</v>
      </c>
      <c r="D56" s="7">
        <v>2</v>
      </c>
      <c r="E56" s="21" t="s">
        <v>180</v>
      </c>
      <c r="F56" s="7">
        <v>1513</v>
      </c>
      <c r="G56" s="7">
        <v>1</v>
      </c>
      <c r="H56" s="7" t="s">
        <v>68</v>
      </c>
      <c r="I56" s="7" t="s">
        <v>80</v>
      </c>
      <c r="J56" s="7" t="s">
        <v>73</v>
      </c>
      <c r="K56" s="7">
        <v>60</v>
      </c>
      <c r="L56" s="7" t="s">
        <v>73</v>
      </c>
      <c r="M56" s="7" t="s">
        <v>73</v>
      </c>
      <c r="N56" s="7" t="s">
        <v>73</v>
      </c>
      <c r="O56" s="7">
        <v>100</v>
      </c>
      <c r="P56" s="7" t="s">
        <v>73</v>
      </c>
      <c r="Q56" s="10"/>
      <c r="R56" s="10"/>
      <c r="S56" s="10"/>
      <c r="T56" s="10"/>
      <c r="U56" s="10"/>
      <c r="V56" s="10"/>
      <c r="W56" s="10"/>
      <c r="X56" s="10"/>
      <c r="Y56" s="10"/>
      <c r="Z56" s="10"/>
      <c r="AA56" s="10"/>
      <c r="AB56" s="10"/>
      <c r="AC56" s="10"/>
      <c r="AD56" s="10"/>
      <c r="AE56" s="10"/>
      <c r="AF56" s="10"/>
      <c r="AG56" s="11">
        <v>100</v>
      </c>
    </row>
    <row r="57" spans="1:33" s="11" customFormat="1" ht="15" customHeight="1" x14ac:dyDescent="0.3">
      <c r="A57" s="7" t="s">
        <v>181</v>
      </c>
      <c r="B57" s="7" t="s">
        <v>70</v>
      </c>
      <c r="C57" s="7" t="s">
        <v>66</v>
      </c>
      <c r="D57" s="7">
        <v>2</v>
      </c>
      <c r="E57" s="21" t="s">
        <v>182</v>
      </c>
      <c r="F57" s="7">
        <v>464</v>
      </c>
      <c r="G57" s="7">
        <v>0.8</v>
      </c>
      <c r="H57" s="7" t="s">
        <v>68</v>
      </c>
      <c r="I57" s="7" t="s">
        <v>69</v>
      </c>
      <c r="J57" s="7" t="s">
        <v>73</v>
      </c>
      <c r="K57" s="7">
        <v>30</v>
      </c>
      <c r="L57" s="7" t="s">
        <v>73</v>
      </c>
      <c r="M57" s="7" t="s">
        <v>73</v>
      </c>
      <c r="N57" s="7" t="s">
        <v>73</v>
      </c>
      <c r="O57" s="7">
        <v>100</v>
      </c>
      <c r="P57" s="7" t="s">
        <v>73</v>
      </c>
      <c r="Q57" s="10"/>
      <c r="R57" s="10"/>
      <c r="S57" s="10"/>
      <c r="T57" s="10"/>
      <c r="U57" s="10"/>
      <c r="V57" s="10"/>
      <c r="W57" s="10"/>
      <c r="X57" s="10"/>
      <c r="Y57" s="10"/>
      <c r="Z57" s="10"/>
      <c r="AA57" s="10"/>
      <c r="AB57" s="10"/>
      <c r="AC57" s="10"/>
      <c r="AD57" s="10"/>
      <c r="AE57" s="10"/>
      <c r="AF57" s="10"/>
      <c r="AG57" s="11">
        <v>100</v>
      </c>
    </row>
    <row r="58" spans="1:33" s="11" customFormat="1" ht="15" customHeight="1" x14ac:dyDescent="0.3">
      <c r="A58" s="7" t="s">
        <v>183</v>
      </c>
      <c r="B58" s="7" t="s">
        <v>70</v>
      </c>
      <c r="C58" s="7" t="s">
        <v>66</v>
      </c>
      <c r="D58" s="7">
        <v>2</v>
      </c>
      <c r="E58" s="21" t="s">
        <v>184</v>
      </c>
      <c r="F58" s="7">
        <v>1455</v>
      </c>
      <c r="G58" s="7">
        <v>0.7</v>
      </c>
      <c r="H58" s="7" t="s">
        <v>68</v>
      </c>
      <c r="I58" s="7" t="s">
        <v>69</v>
      </c>
      <c r="J58" s="7" t="s">
        <v>73</v>
      </c>
      <c r="K58" s="7">
        <v>30</v>
      </c>
      <c r="L58" s="7" t="s">
        <v>73</v>
      </c>
      <c r="M58" s="7" t="s">
        <v>73</v>
      </c>
      <c r="N58" s="7" t="s">
        <v>73</v>
      </c>
      <c r="O58" s="7">
        <v>100</v>
      </c>
      <c r="P58" s="7" t="s">
        <v>73</v>
      </c>
      <c r="Q58" s="10"/>
      <c r="R58" s="10"/>
      <c r="S58" s="10"/>
      <c r="T58" s="10"/>
      <c r="U58" s="10"/>
      <c r="V58" s="10"/>
      <c r="W58" s="10"/>
      <c r="X58" s="10"/>
      <c r="Y58" s="10"/>
      <c r="Z58" s="10"/>
      <c r="AA58" s="10"/>
      <c r="AB58" s="10"/>
      <c r="AC58" s="10"/>
      <c r="AD58" s="10"/>
      <c r="AE58" s="10"/>
      <c r="AF58" s="10"/>
      <c r="AG58" s="11">
        <v>100</v>
      </c>
    </row>
    <row r="59" spans="1:33" s="11" customFormat="1" x14ac:dyDescent="0.3">
      <c r="A59" s="6" t="s">
        <v>185</v>
      </c>
      <c r="B59" s="16" t="s">
        <v>186</v>
      </c>
      <c r="C59" s="10" t="s">
        <v>66</v>
      </c>
      <c r="D59" s="10">
        <v>2</v>
      </c>
      <c r="E59" s="17" t="s">
        <v>187</v>
      </c>
      <c r="F59" s="16">
        <v>30</v>
      </c>
      <c r="G59" s="18">
        <v>1</v>
      </c>
      <c r="H59" s="18" t="s">
        <v>68</v>
      </c>
      <c r="I59" s="18" t="s">
        <v>80</v>
      </c>
      <c r="J59" s="19">
        <v>1.4</v>
      </c>
      <c r="K59" s="10">
        <v>60</v>
      </c>
      <c r="L59" s="19">
        <v>0.84</v>
      </c>
      <c r="M59" s="19">
        <v>1.4</v>
      </c>
      <c r="N59" s="20">
        <v>0</v>
      </c>
      <c r="O59" s="10">
        <v>100</v>
      </c>
      <c r="P59" s="20">
        <v>0</v>
      </c>
      <c r="Q59" s="20">
        <v>0</v>
      </c>
      <c r="R59" s="19">
        <v>100</v>
      </c>
      <c r="S59" s="20">
        <v>0</v>
      </c>
      <c r="T59" s="10">
        <v>0</v>
      </c>
      <c r="U59" s="19">
        <v>100</v>
      </c>
      <c r="V59" s="20">
        <v>0</v>
      </c>
      <c r="W59" s="20">
        <v>0</v>
      </c>
      <c r="X59" s="19">
        <v>100</v>
      </c>
      <c r="Y59" s="20">
        <v>0</v>
      </c>
      <c r="Z59" s="20">
        <v>0</v>
      </c>
      <c r="AA59" s="19">
        <v>100</v>
      </c>
      <c r="AB59" s="20">
        <v>0</v>
      </c>
      <c r="AC59" s="20">
        <v>0</v>
      </c>
      <c r="AD59" s="19">
        <v>100</v>
      </c>
      <c r="AE59" s="20">
        <v>0</v>
      </c>
      <c r="AF59" s="10"/>
      <c r="AG59" s="11">
        <v>100</v>
      </c>
    </row>
    <row r="60" spans="1:33" s="11" customFormat="1" ht="15" customHeight="1" x14ac:dyDescent="0.3">
      <c r="A60" s="6" t="s">
        <v>188</v>
      </c>
      <c r="B60" s="16" t="s">
        <v>65</v>
      </c>
      <c r="C60" s="10" t="s">
        <v>66</v>
      </c>
      <c r="D60" s="10">
        <v>2</v>
      </c>
      <c r="E60" s="17" t="s">
        <v>189</v>
      </c>
      <c r="F60" s="16">
        <v>33</v>
      </c>
      <c r="G60" s="18">
        <v>0.7</v>
      </c>
      <c r="H60" s="18" t="s">
        <v>68</v>
      </c>
      <c r="I60" s="18" t="s">
        <v>69</v>
      </c>
      <c r="J60" s="19">
        <v>13.4</v>
      </c>
      <c r="K60" s="10">
        <v>30</v>
      </c>
      <c r="L60" s="19">
        <v>4.0199999999999996</v>
      </c>
      <c r="M60" s="19">
        <v>13.4</v>
      </c>
      <c r="N60" s="20">
        <v>12.7</v>
      </c>
      <c r="O60" s="10">
        <v>100</v>
      </c>
      <c r="P60" s="20">
        <v>12.7</v>
      </c>
      <c r="Q60" s="20">
        <v>0</v>
      </c>
      <c r="R60" s="19">
        <v>100</v>
      </c>
      <c r="S60" s="20">
        <v>0</v>
      </c>
      <c r="T60" s="10">
        <v>0</v>
      </c>
      <c r="U60" s="19">
        <v>100</v>
      </c>
      <c r="V60" s="20">
        <v>0</v>
      </c>
      <c r="W60" s="20">
        <v>0</v>
      </c>
      <c r="X60" s="19">
        <v>100</v>
      </c>
      <c r="Y60" s="20">
        <v>0</v>
      </c>
      <c r="Z60" s="20">
        <v>0</v>
      </c>
      <c r="AA60" s="19">
        <v>100</v>
      </c>
      <c r="AB60" s="20">
        <v>0</v>
      </c>
      <c r="AC60" s="20">
        <v>0</v>
      </c>
      <c r="AD60" s="19">
        <v>100</v>
      </c>
      <c r="AE60" s="20">
        <v>0</v>
      </c>
      <c r="AF60" s="10"/>
      <c r="AG60" s="11">
        <v>100</v>
      </c>
    </row>
    <row r="61" spans="1:33" s="11" customFormat="1" ht="15" customHeight="1" x14ac:dyDescent="0.3">
      <c r="A61" s="6" t="s">
        <v>185</v>
      </c>
      <c r="B61" s="16" t="s">
        <v>78</v>
      </c>
      <c r="C61" s="10" t="s">
        <v>66</v>
      </c>
      <c r="D61" s="10">
        <v>2</v>
      </c>
      <c r="E61" s="17" t="s">
        <v>190</v>
      </c>
      <c r="F61" s="16">
        <v>31</v>
      </c>
      <c r="G61" s="18">
        <v>1</v>
      </c>
      <c r="H61" s="18" t="s">
        <v>68</v>
      </c>
      <c r="I61" s="18" t="s">
        <v>80</v>
      </c>
      <c r="J61" s="19">
        <v>8.5</v>
      </c>
      <c r="K61" s="10">
        <v>60</v>
      </c>
      <c r="L61" s="19">
        <v>5.0999999999999996</v>
      </c>
      <c r="M61" s="19">
        <v>8.5</v>
      </c>
      <c r="N61" s="20">
        <v>13.5</v>
      </c>
      <c r="O61" s="10">
        <v>100</v>
      </c>
      <c r="P61" s="20">
        <v>13.5</v>
      </c>
      <c r="Q61" s="20">
        <v>0</v>
      </c>
      <c r="R61" s="19">
        <v>100</v>
      </c>
      <c r="S61" s="20">
        <v>0</v>
      </c>
      <c r="T61" s="10">
        <v>0</v>
      </c>
      <c r="U61" s="19">
        <v>100</v>
      </c>
      <c r="V61" s="20">
        <v>0</v>
      </c>
      <c r="W61" s="20">
        <v>0</v>
      </c>
      <c r="X61" s="19">
        <v>100</v>
      </c>
      <c r="Y61" s="20">
        <v>0</v>
      </c>
      <c r="Z61" s="20">
        <v>0</v>
      </c>
      <c r="AA61" s="19">
        <v>100</v>
      </c>
      <c r="AB61" s="20">
        <v>0</v>
      </c>
      <c r="AC61" s="20">
        <v>0</v>
      </c>
      <c r="AD61" s="19">
        <v>100</v>
      </c>
      <c r="AE61" s="20">
        <v>0</v>
      </c>
      <c r="AF61" s="10"/>
      <c r="AG61" s="11">
        <v>100</v>
      </c>
    </row>
    <row r="62" spans="1:33" s="11" customFormat="1" ht="28.8" x14ac:dyDescent="0.3">
      <c r="A62" s="6" t="s">
        <v>185</v>
      </c>
      <c r="B62" s="16" t="s">
        <v>65</v>
      </c>
      <c r="C62" s="10" t="s">
        <v>66</v>
      </c>
      <c r="D62" s="10">
        <v>2</v>
      </c>
      <c r="E62" s="17" t="s">
        <v>191</v>
      </c>
      <c r="F62" s="16">
        <v>32</v>
      </c>
      <c r="G62" s="18">
        <v>0.8</v>
      </c>
      <c r="H62" s="18" t="s">
        <v>68</v>
      </c>
      <c r="I62" s="18" t="s">
        <v>69</v>
      </c>
      <c r="J62" s="19">
        <v>16.899999999999999</v>
      </c>
      <c r="K62" s="10">
        <v>30</v>
      </c>
      <c r="L62" s="19">
        <v>5.0699999999999994</v>
      </c>
      <c r="M62" s="19">
        <v>16.899999999999999</v>
      </c>
      <c r="N62" s="20">
        <v>13.8</v>
      </c>
      <c r="O62" s="10">
        <v>100</v>
      </c>
      <c r="P62" s="20">
        <v>13.8</v>
      </c>
      <c r="Q62" s="20">
        <v>0</v>
      </c>
      <c r="R62" s="19">
        <v>100</v>
      </c>
      <c r="S62" s="20">
        <v>0</v>
      </c>
      <c r="T62" s="10">
        <v>0</v>
      </c>
      <c r="U62" s="19">
        <v>100</v>
      </c>
      <c r="V62" s="20">
        <v>0</v>
      </c>
      <c r="W62" s="20">
        <v>0</v>
      </c>
      <c r="X62" s="19">
        <v>100</v>
      </c>
      <c r="Y62" s="20">
        <v>0</v>
      </c>
      <c r="Z62" s="20">
        <v>0</v>
      </c>
      <c r="AA62" s="19">
        <v>100</v>
      </c>
      <c r="AB62" s="20">
        <v>0</v>
      </c>
      <c r="AC62" s="20">
        <v>0</v>
      </c>
      <c r="AD62" s="19">
        <v>100</v>
      </c>
      <c r="AE62" s="20">
        <v>0</v>
      </c>
      <c r="AF62" s="10"/>
      <c r="AG62" s="11">
        <v>100</v>
      </c>
    </row>
    <row r="63" spans="1:33" s="11" customFormat="1" ht="30" customHeight="1" x14ac:dyDescent="0.3">
      <c r="A63" s="7" t="s">
        <v>192</v>
      </c>
      <c r="B63" s="7" t="s">
        <v>84</v>
      </c>
      <c r="C63" s="7" t="s">
        <v>66</v>
      </c>
      <c r="D63" s="7">
        <v>2</v>
      </c>
      <c r="E63" s="21" t="s">
        <v>193</v>
      </c>
      <c r="F63" s="7">
        <v>1512</v>
      </c>
      <c r="G63" s="7">
        <v>1</v>
      </c>
      <c r="H63" s="7" t="s">
        <v>68</v>
      </c>
      <c r="I63" s="7" t="s">
        <v>80</v>
      </c>
      <c r="J63" s="7" t="s">
        <v>73</v>
      </c>
      <c r="K63" s="7">
        <v>60</v>
      </c>
      <c r="L63" s="7" t="s">
        <v>73</v>
      </c>
      <c r="M63" s="7" t="s">
        <v>73</v>
      </c>
      <c r="N63" s="7" t="s">
        <v>73</v>
      </c>
      <c r="O63" s="7">
        <v>100</v>
      </c>
      <c r="P63" s="7" t="s">
        <v>73</v>
      </c>
      <c r="Q63" s="10"/>
      <c r="R63" s="10"/>
      <c r="S63" s="10"/>
      <c r="T63" s="10"/>
      <c r="U63" s="10"/>
      <c r="V63" s="10"/>
      <c r="W63" s="10"/>
      <c r="X63" s="10"/>
      <c r="Y63" s="10"/>
      <c r="Z63" s="10"/>
      <c r="AA63" s="10"/>
      <c r="AB63" s="10"/>
      <c r="AC63" s="10"/>
      <c r="AD63" s="10"/>
      <c r="AE63" s="10"/>
      <c r="AF63" s="10"/>
      <c r="AG63" s="11">
        <v>100</v>
      </c>
    </row>
    <row r="64" spans="1:33" s="11" customFormat="1" ht="15" customHeight="1" x14ac:dyDescent="0.3">
      <c r="A64" s="7" t="s">
        <v>194</v>
      </c>
      <c r="B64" s="7" t="s">
        <v>84</v>
      </c>
      <c r="C64" s="7" t="s">
        <v>66</v>
      </c>
      <c r="D64" s="7">
        <v>2</v>
      </c>
      <c r="E64" s="21" t="s">
        <v>195</v>
      </c>
      <c r="F64" s="7">
        <v>1165</v>
      </c>
      <c r="G64" s="7">
        <v>1</v>
      </c>
      <c r="H64" s="7" t="s">
        <v>68</v>
      </c>
      <c r="I64" s="7" t="s">
        <v>80</v>
      </c>
      <c r="J64" s="7" t="s">
        <v>73</v>
      </c>
      <c r="K64" s="7">
        <v>60</v>
      </c>
      <c r="L64" s="7" t="s">
        <v>73</v>
      </c>
      <c r="M64" s="7" t="s">
        <v>73</v>
      </c>
      <c r="N64" s="7" t="s">
        <v>73</v>
      </c>
      <c r="O64" s="7">
        <v>100</v>
      </c>
      <c r="P64" s="7" t="s">
        <v>73</v>
      </c>
      <c r="Q64" s="10"/>
      <c r="R64" s="10"/>
      <c r="S64" s="10"/>
      <c r="T64" s="10"/>
      <c r="U64" s="10"/>
      <c r="V64" s="10"/>
      <c r="W64" s="10"/>
      <c r="X64" s="10"/>
      <c r="Y64" s="10"/>
      <c r="Z64" s="10"/>
      <c r="AA64" s="10"/>
      <c r="AB64" s="10"/>
      <c r="AC64" s="10"/>
      <c r="AD64" s="10"/>
      <c r="AE64" s="10"/>
      <c r="AF64" s="10"/>
      <c r="AG64" s="11">
        <v>100</v>
      </c>
    </row>
    <row r="65" spans="1:33" s="11" customFormat="1" ht="15" customHeight="1" x14ac:dyDescent="0.3">
      <c r="A65" s="7" t="s">
        <v>196</v>
      </c>
      <c r="B65" s="7" t="s">
        <v>84</v>
      </c>
      <c r="C65" s="7" t="s">
        <v>66</v>
      </c>
      <c r="D65" s="7">
        <v>2</v>
      </c>
      <c r="E65" s="21" t="s">
        <v>197</v>
      </c>
      <c r="F65" s="7">
        <v>1163</v>
      </c>
      <c r="G65" s="7">
        <v>1</v>
      </c>
      <c r="H65" s="7" t="s">
        <v>68</v>
      </c>
      <c r="I65" s="7" t="s">
        <v>80</v>
      </c>
      <c r="J65" s="7" t="s">
        <v>73</v>
      </c>
      <c r="K65" s="7">
        <v>60</v>
      </c>
      <c r="L65" s="7" t="s">
        <v>73</v>
      </c>
      <c r="M65" s="7" t="s">
        <v>73</v>
      </c>
      <c r="N65" s="7" t="s">
        <v>73</v>
      </c>
      <c r="O65" s="7">
        <v>100</v>
      </c>
      <c r="P65" s="7" t="s">
        <v>73</v>
      </c>
      <c r="Q65" s="10"/>
      <c r="R65" s="10"/>
      <c r="S65" s="10"/>
      <c r="T65" s="10"/>
      <c r="U65" s="10"/>
      <c r="V65" s="10"/>
      <c r="W65" s="10"/>
      <c r="X65" s="10"/>
      <c r="Y65" s="10"/>
      <c r="Z65" s="10"/>
      <c r="AA65" s="10"/>
      <c r="AB65" s="10"/>
      <c r="AC65" s="10"/>
      <c r="AD65" s="10"/>
      <c r="AE65" s="10"/>
      <c r="AF65" s="10"/>
      <c r="AG65" s="11">
        <v>100</v>
      </c>
    </row>
    <row r="66" spans="1:33" s="11" customFormat="1" ht="15" customHeight="1" x14ac:dyDescent="0.3">
      <c r="A66" s="7" t="s">
        <v>198</v>
      </c>
      <c r="B66" s="7" t="s">
        <v>84</v>
      </c>
      <c r="C66" s="7" t="s">
        <v>66</v>
      </c>
      <c r="D66" s="7">
        <v>2</v>
      </c>
      <c r="E66" s="21" t="s">
        <v>199</v>
      </c>
      <c r="F66" s="7">
        <v>1164</v>
      </c>
      <c r="G66" s="7">
        <v>1</v>
      </c>
      <c r="H66" s="7" t="s">
        <v>68</v>
      </c>
      <c r="I66" s="7" t="s">
        <v>80</v>
      </c>
      <c r="J66" s="7" t="s">
        <v>73</v>
      </c>
      <c r="K66" s="7">
        <v>60</v>
      </c>
      <c r="L66" s="7" t="s">
        <v>73</v>
      </c>
      <c r="M66" s="7" t="s">
        <v>73</v>
      </c>
      <c r="N66" s="7" t="s">
        <v>73</v>
      </c>
      <c r="O66" s="7">
        <v>100</v>
      </c>
      <c r="P66" s="7" t="s">
        <v>73</v>
      </c>
      <c r="Q66" s="10"/>
      <c r="R66" s="10"/>
      <c r="S66" s="10"/>
      <c r="T66" s="10"/>
      <c r="U66" s="10"/>
      <c r="V66" s="10"/>
      <c r="W66" s="10"/>
      <c r="X66" s="10"/>
      <c r="Y66" s="10"/>
      <c r="Z66" s="10"/>
      <c r="AA66" s="10"/>
      <c r="AB66" s="10"/>
      <c r="AC66" s="10"/>
      <c r="AD66" s="10"/>
      <c r="AE66" s="10"/>
      <c r="AF66" s="10"/>
      <c r="AG66" s="11">
        <v>100</v>
      </c>
    </row>
    <row r="67" spans="1:33" s="11" customFormat="1" ht="15" customHeight="1" x14ac:dyDescent="0.3">
      <c r="A67" s="7" t="s">
        <v>200</v>
      </c>
      <c r="B67" s="7" t="s">
        <v>70</v>
      </c>
      <c r="C67" s="7" t="s">
        <v>71</v>
      </c>
      <c r="D67" s="7">
        <v>2</v>
      </c>
      <c r="E67" s="21" t="s">
        <v>201</v>
      </c>
      <c r="F67" s="7">
        <v>688</v>
      </c>
      <c r="G67" s="7">
        <v>0.7</v>
      </c>
      <c r="H67" s="7" t="s">
        <v>68</v>
      </c>
      <c r="I67" s="7" t="s">
        <v>69</v>
      </c>
      <c r="J67" s="7" t="s">
        <v>73</v>
      </c>
      <c r="K67" s="7">
        <v>60</v>
      </c>
      <c r="L67" s="7" t="s">
        <v>73</v>
      </c>
      <c r="M67" s="7" t="s">
        <v>73</v>
      </c>
      <c r="N67" s="7" t="s">
        <v>73</v>
      </c>
      <c r="O67" s="7">
        <v>100</v>
      </c>
      <c r="P67" s="7" t="s">
        <v>73</v>
      </c>
      <c r="Q67" s="10"/>
      <c r="R67" s="10"/>
      <c r="S67" s="10"/>
      <c r="T67" s="10"/>
      <c r="U67" s="10"/>
      <c r="V67" s="10"/>
      <c r="W67" s="10"/>
      <c r="X67" s="10"/>
      <c r="Y67" s="10"/>
      <c r="Z67" s="10"/>
      <c r="AA67" s="10"/>
      <c r="AB67" s="10"/>
      <c r="AC67" s="10"/>
      <c r="AD67" s="10"/>
      <c r="AE67" s="10"/>
      <c r="AF67" s="10"/>
      <c r="AG67" s="11">
        <v>100</v>
      </c>
    </row>
    <row r="68" spans="1:33" s="11" customFormat="1" ht="15" customHeight="1" x14ac:dyDescent="0.3">
      <c r="A68" s="7" t="s">
        <v>202</v>
      </c>
      <c r="B68" s="7" t="s">
        <v>84</v>
      </c>
      <c r="C68" s="7" t="s">
        <v>71</v>
      </c>
      <c r="D68" s="7">
        <v>2</v>
      </c>
      <c r="E68" s="21" t="s">
        <v>203</v>
      </c>
      <c r="F68" s="7">
        <v>1526</v>
      </c>
      <c r="G68" s="7">
        <v>1</v>
      </c>
      <c r="H68" s="7" t="s">
        <v>68</v>
      </c>
      <c r="I68" s="7" t="s">
        <v>80</v>
      </c>
      <c r="J68" s="7" t="s">
        <v>73</v>
      </c>
      <c r="K68" s="7">
        <v>60</v>
      </c>
      <c r="L68" s="7" t="s">
        <v>73</v>
      </c>
      <c r="M68" s="7" t="s">
        <v>73</v>
      </c>
      <c r="N68" s="7" t="s">
        <v>73</v>
      </c>
      <c r="O68" s="7">
        <v>100</v>
      </c>
      <c r="P68" s="7" t="s">
        <v>73</v>
      </c>
      <c r="Q68" s="10"/>
      <c r="R68" s="10"/>
      <c r="S68" s="10"/>
      <c r="T68" s="10"/>
      <c r="U68" s="10"/>
      <c r="V68" s="10"/>
      <c r="W68" s="10"/>
      <c r="X68" s="10"/>
      <c r="Y68" s="10"/>
      <c r="Z68" s="10"/>
      <c r="AA68" s="10"/>
      <c r="AB68" s="10"/>
      <c r="AC68" s="10"/>
      <c r="AD68" s="10"/>
      <c r="AE68" s="10"/>
      <c r="AF68" s="10"/>
      <c r="AG68" s="11">
        <v>100</v>
      </c>
    </row>
    <row r="69" spans="1:33" s="11" customFormat="1" ht="15" customHeight="1" x14ac:dyDescent="0.3">
      <c r="A69" s="6" t="s">
        <v>204</v>
      </c>
      <c r="B69" s="16" t="s">
        <v>205</v>
      </c>
      <c r="C69" s="10" t="s">
        <v>66</v>
      </c>
      <c r="D69" s="10">
        <v>2</v>
      </c>
      <c r="E69" s="17" t="s">
        <v>206</v>
      </c>
      <c r="F69" s="16">
        <v>693</v>
      </c>
      <c r="G69" s="18">
        <v>0.6</v>
      </c>
      <c r="H69" s="18" t="s">
        <v>68</v>
      </c>
      <c r="I69" s="18" t="s">
        <v>69</v>
      </c>
      <c r="J69" s="19">
        <v>31.5</v>
      </c>
      <c r="K69" s="10">
        <v>30</v>
      </c>
      <c r="L69" s="19">
        <v>9.4499999999999993</v>
      </c>
      <c r="M69" s="19">
        <v>31.5</v>
      </c>
      <c r="N69" s="20">
        <v>28.5</v>
      </c>
      <c r="O69" s="10">
        <v>100</v>
      </c>
      <c r="P69" s="20">
        <v>28.5</v>
      </c>
      <c r="Q69" s="20">
        <v>0</v>
      </c>
      <c r="R69" s="19">
        <v>100</v>
      </c>
      <c r="S69" s="20">
        <v>0</v>
      </c>
      <c r="T69" s="10">
        <v>0</v>
      </c>
      <c r="U69" s="19">
        <v>100</v>
      </c>
      <c r="V69" s="20">
        <v>0</v>
      </c>
      <c r="W69" s="20">
        <v>0</v>
      </c>
      <c r="X69" s="19">
        <v>100</v>
      </c>
      <c r="Y69" s="20">
        <v>0</v>
      </c>
      <c r="Z69" s="20">
        <v>0</v>
      </c>
      <c r="AA69" s="19">
        <v>100</v>
      </c>
      <c r="AB69" s="20">
        <v>0</v>
      </c>
      <c r="AC69" s="20">
        <v>0</v>
      </c>
      <c r="AD69" s="19">
        <v>100</v>
      </c>
      <c r="AE69" s="20">
        <v>0</v>
      </c>
      <c r="AF69" s="10"/>
      <c r="AG69" s="11">
        <v>100</v>
      </c>
    </row>
    <row r="70" spans="1:33" s="11" customFormat="1" ht="15" customHeight="1" x14ac:dyDescent="0.3">
      <c r="A70" s="6" t="s">
        <v>207</v>
      </c>
      <c r="B70" s="16" t="s">
        <v>208</v>
      </c>
      <c r="C70" s="10" t="s">
        <v>66</v>
      </c>
      <c r="D70" s="10">
        <v>2</v>
      </c>
      <c r="E70" s="17" t="s">
        <v>209</v>
      </c>
      <c r="F70" s="16">
        <v>692</v>
      </c>
      <c r="G70" s="18">
        <v>0.8</v>
      </c>
      <c r="H70" s="18" t="s">
        <v>68</v>
      </c>
      <c r="I70" s="18" t="s">
        <v>69</v>
      </c>
      <c r="J70" s="19">
        <v>26.9</v>
      </c>
      <c r="K70" s="10">
        <v>30</v>
      </c>
      <c r="L70" s="19">
        <v>8.07</v>
      </c>
      <c r="M70" s="19">
        <v>26.9</v>
      </c>
      <c r="N70" s="20">
        <v>21.3</v>
      </c>
      <c r="O70" s="10">
        <v>100</v>
      </c>
      <c r="P70" s="20">
        <v>21.3</v>
      </c>
      <c r="Q70" s="20">
        <v>0</v>
      </c>
      <c r="R70" s="19">
        <v>100</v>
      </c>
      <c r="S70" s="20">
        <v>0</v>
      </c>
      <c r="T70" s="10">
        <v>0</v>
      </c>
      <c r="U70" s="19">
        <v>100</v>
      </c>
      <c r="V70" s="20">
        <v>0</v>
      </c>
      <c r="W70" s="20">
        <v>0</v>
      </c>
      <c r="X70" s="19">
        <v>100</v>
      </c>
      <c r="Y70" s="20">
        <v>0</v>
      </c>
      <c r="Z70" s="20">
        <v>0</v>
      </c>
      <c r="AA70" s="19">
        <v>100</v>
      </c>
      <c r="AB70" s="20">
        <v>0</v>
      </c>
      <c r="AC70" s="20">
        <v>0</v>
      </c>
      <c r="AD70" s="19">
        <v>100</v>
      </c>
      <c r="AE70" s="20">
        <v>0</v>
      </c>
      <c r="AF70" s="10"/>
      <c r="AG70" s="11">
        <v>100</v>
      </c>
    </row>
    <row r="71" spans="1:33" s="11" customFormat="1" ht="15" customHeight="1" x14ac:dyDescent="0.3">
      <c r="A71" s="6" t="s">
        <v>210</v>
      </c>
      <c r="B71" s="16" t="s">
        <v>208</v>
      </c>
      <c r="C71" s="10" t="s">
        <v>66</v>
      </c>
      <c r="D71" s="10">
        <v>2</v>
      </c>
      <c r="E71" s="17" t="s">
        <v>211</v>
      </c>
      <c r="F71" s="16">
        <v>691</v>
      </c>
      <c r="G71" s="18">
        <v>0.8</v>
      </c>
      <c r="H71" s="18" t="s">
        <v>68</v>
      </c>
      <c r="I71" s="18" t="s">
        <v>69</v>
      </c>
      <c r="J71" s="19">
        <v>22.7</v>
      </c>
      <c r="K71" s="10">
        <v>30</v>
      </c>
      <c r="L71" s="19">
        <v>6.81</v>
      </c>
      <c r="M71" s="19">
        <v>22.7</v>
      </c>
      <c r="N71" s="20">
        <v>14.3</v>
      </c>
      <c r="O71" s="10">
        <v>100</v>
      </c>
      <c r="P71" s="20">
        <v>14.3</v>
      </c>
      <c r="Q71" s="20">
        <v>0</v>
      </c>
      <c r="R71" s="19">
        <v>100</v>
      </c>
      <c r="S71" s="20">
        <v>0</v>
      </c>
      <c r="T71" s="10">
        <v>0</v>
      </c>
      <c r="U71" s="19">
        <v>100</v>
      </c>
      <c r="V71" s="20">
        <v>0</v>
      </c>
      <c r="W71" s="20">
        <v>0</v>
      </c>
      <c r="X71" s="19">
        <v>100</v>
      </c>
      <c r="Y71" s="20">
        <v>0</v>
      </c>
      <c r="Z71" s="20">
        <v>0</v>
      </c>
      <c r="AA71" s="19">
        <v>100</v>
      </c>
      <c r="AB71" s="20">
        <v>0</v>
      </c>
      <c r="AC71" s="20">
        <v>0</v>
      </c>
      <c r="AD71" s="19">
        <v>100</v>
      </c>
      <c r="AE71" s="20">
        <v>0</v>
      </c>
      <c r="AF71" s="10"/>
      <c r="AG71" s="11">
        <v>100</v>
      </c>
    </row>
    <row r="72" spans="1:33" s="11" customFormat="1" ht="15" customHeight="1" x14ac:dyDescent="0.3">
      <c r="A72" s="6" t="s">
        <v>212</v>
      </c>
      <c r="B72" s="16" t="s">
        <v>65</v>
      </c>
      <c r="C72" s="10" t="s">
        <v>66</v>
      </c>
      <c r="D72" s="10">
        <v>2</v>
      </c>
      <c r="E72" s="17" t="s">
        <v>213</v>
      </c>
      <c r="F72" s="16">
        <v>695</v>
      </c>
      <c r="G72" s="18">
        <v>0.5</v>
      </c>
      <c r="H72" s="18" t="s">
        <v>68</v>
      </c>
      <c r="I72" s="18" t="s">
        <v>69</v>
      </c>
      <c r="J72" s="19">
        <v>19.8</v>
      </c>
      <c r="K72" s="10">
        <v>30</v>
      </c>
      <c r="L72" s="19">
        <v>5.94</v>
      </c>
      <c r="M72" s="19">
        <v>19.8</v>
      </c>
      <c r="N72" s="20">
        <v>27.4</v>
      </c>
      <c r="O72" s="10">
        <v>100</v>
      </c>
      <c r="P72" s="20">
        <v>27.4</v>
      </c>
      <c r="Q72" s="20">
        <v>0</v>
      </c>
      <c r="R72" s="19">
        <v>100</v>
      </c>
      <c r="S72" s="20">
        <v>0</v>
      </c>
      <c r="T72" s="10">
        <v>0</v>
      </c>
      <c r="U72" s="19">
        <v>100</v>
      </c>
      <c r="V72" s="20">
        <v>0</v>
      </c>
      <c r="W72" s="20">
        <v>0</v>
      </c>
      <c r="X72" s="19">
        <v>100</v>
      </c>
      <c r="Y72" s="20">
        <v>0</v>
      </c>
      <c r="Z72" s="20">
        <v>0</v>
      </c>
      <c r="AA72" s="19">
        <v>100</v>
      </c>
      <c r="AB72" s="20">
        <v>0</v>
      </c>
      <c r="AC72" s="20">
        <v>0</v>
      </c>
      <c r="AD72" s="19">
        <v>100</v>
      </c>
      <c r="AE72" s="20">
        <v>0</v>
      </c>
      <c r="AF72" s="10"/>
      <c r="AG72" s="11">
        <v>100</v>
      </c>
    </row>
    <row r="73" spans="1:33" s="11" customFormat="1" ht="15" customHeight="1" x14ac:dyDescent="0.3">
      <c r="A73" s="6" t="s">
        <v>214</v>
      </c>
      <c r="B73" s="16" t="s">
        <v>65</v>
      </c>
      <c r="C73" s="10" t="s">
        <v>66</v>
      </c>
      <c r="D73" s="10">
        <v>2</v>
      </c>
      <c r="E73" s="17" t="s">
        <v>215</v>
      </c>
      <c r="F73" s="16">
        <v>694</v>
      </c>
      <c r="G73" s="18">
        <v>0.5</v>
      </c>
      <c r="H73" s="18" t="s">
        <v>68</v>
      </c>
      <c r="I73" s="18" t="s">
        <v>69</v>
      </c>
      <c r="J73" s="19">
        <v>19.8</v>
      </c>
      <c r="K73" s="10">
        <v>30</v>
      </c>
      <c r="L73" s="19">
        <v>5.94</v>
      </c>
      <c r="M73" s="19">
        <v>19.8</v>
      </c>
      <c r="N73" s="20">
        <v>27.4</v>
      </c>
      <c r="O73" s="10">
        <v>100</v>
      </c>
      <c r="P73" s="20">
        <v>27.4</v>
      </c>
      <c r="Q73" s="20">
        <v>0</v>
      </c>
      <c r="R73" s="19">
        <v>100</v>
      </c>
      <c r="S73" s="20">
        <v>0</v>
      </c>
      <c r="T73" s="10">
        <v>0</v>
      </c>
      <c r="U73" s="19">
        <v>100</v>
      </c>
      <c r="V73" s="20">
        <v>0</v>
      </c>
      <c r="W73" s="20">
        <v>0</v>
      </c>
      <c r="X73" s="19">
        <v>100</v>
      </c>
      <c r="Y73" s="20">
        <v>0</v>
      </c>
      <c r="Z73" s="20">
        <v>0</v>
      </c>
      <c r="AA73" s="19">
        <v>100</v>
      </c>
      <c r="AB73" s="20">
        <v>0</v>
      </c>
      <c r="AC73" s="20">
        <v>0</v>
      </c>
      <c r="AD73" s="19">
        <v>100</v>
      </c>
      <c r="AE73" s="20">
        <v>0</v>
      </c>
      <c r="AF73" s="10"/>
      <c r="AG73" s="11">
        <v>100</v>
      </c>
    </row>
    <row r="74" spans="1:33" s="11" customFormat="1" x14ac:dyDescent="0.3">
      <c r="A74" s="7" t="s">
        <v>216</v>
      </c>
      <c r="B74" s="7" t="s">
        <v>167</v>
      </c>
      <c r="C74" s="7" t="s">
        <v>66</v>
      </c>
      <c r="D74" s="7">
        <v>2</v>
      </c>
      <c r="E74" s="21" t="s">
        <v>217</v>
      </c>
      <c r="F74" s="7">
        <v>15</v>
      </c>
      <c r="G74" s="7">
        <v>1</v>
      </c>
      <c r="H74" s="7" t="s">
        <v>68</v>
      </c>
      <c r="I74" s="7" t="s">
        <v>80</v>
      </c>
      <c r="J74" s="7" t="s">
        <v>73</v>
      </c>
      <c r="K74" s="7">
        <v>60</v>
      </c>
      <c r="L74" s="7" t="s">
        <v>73</v>
      </c>
      <c r="M74" s="7" t="s">
        <v>73</v>
      </c>
      <c r="N74" s="7" t="s">
        <v>73</v>
      </c>
      <c r="O74" s="7">
        <v>100</v>
      </c>
      <c r="P74" s="7" t="s">
        <v>73</v>
      </c>
      <c r="Q74" s="10"/>
      <c r="R74" s="10"/>
      <c r="S74" s="10"/>
      <c r="T74" s="10"/>
      <c r="U74" s="10"/>
      <c r="V74" s="10"/>
      <c r="W74" s="10"/>
      <c r="X74" s="10"/>
      <c r="Y74" s="10"/>
      <c r="Z74" s="10"/>
      <c r="AA74" s="10"/>
      <c r="AB74" s="10"/>
      <c r="AC74" s="10"/>
      <c r="AD74" s="10"/>
      <c r="AE74" s="10"/>
      <c r="AF74" s="10"/>
      <c r="AG74" s="11">
        <v>100</v>
      </c>
    </row>
    <row r="75" spans="1:33" s="11" customFormat="1" x14ac:dyDescent="0.3">
      <c r="A75" s="7" t="s">
        <v>218</v>
      </c>
      <c r="B75" s="7" t="s">
        <v>84</v>
      </c>
      <c r="C75" s="7" t="s">
        <v>71</v>
      </c>
      <c r="D75" s="7">
        <v>2</v>
      </c>
      <c r="E75" s="21" t="s">
        <v>219</v>
      </c>
      <c r="F75" s="7">
        <v>710</v>
      </c>
      <c r="G75" s="7">
        <v>1</v>
      </c>
      <c r="H75" s="7" t="s">
        <v>68</v>
      </c>
      <c r="I75" s="7" t="s">
        <v>80</v>
      </c>
      <c r="J75" s="7" t="s">
        <v>73</v>
      </c>
      <c r="K75" s="7">
        <v>60</v>
      </c>
      <c r="L75" s="7" t="s">
        <v>73</v>
      </c>
      <c r="M75" s="7" t="s">
        <v>73</v>
      </c>
      <c r="N75" s="7" t="s">
        <v>73</v>
      </c>
      <c r="O75" s="7">
        <v>100</v>
      </c>
      <c r="P75" s="7" t="s">
        <v>73</v>
      </c>
      <c r="Q75" s="10"/>
      <c r="R75" s="10"/>
      <c r="S75" s="10"/>
      <c r="T75" s="10"/>
      <c r="U75" s="10"/>
      <c r="V75" s="10"/>
      <c r="W75" s="10"/>
      <c r="X75" s="10"/>
      <c r="Y75" s="10"/>
      <c r="Z75" s="10"/>
      <c r="AA75" s="10"/>
      <c r="AB75" s="10"/>
      <c r="AC75" s="10"/>
      <c r="AD75" s="10"/>
      <c r="AE75" s="10"/>
      <c r="AF75" s="10"/>
      <c r="AG75" s="11">
        <v>100</v>
      </c>
    </row>
    <row r="76" spans="1:33" s="11" customFormat="1" x14ac:dyDescent="0.3">
      <c r="A76" s="7" t="s">
        <v>220</v>
      </c>
      <c r="B76" s="7" t="s">
        <v>221</v>
      </c>
      <c r="C76" s="7" t="s">
        <v>66</v>
      </c>
      <c r="D76" s="7">
        <v>2</v>
      </c>
      <c r="E76" s="21" t="s">
        <v>222</v>
      </c>
      <c r="F76" s="7">
        <v>737</v>
      </c>
      <c r="G76" s="7">
        <v>1</v>
      </c>
      <c r="H76" s="7" t="s">
        <v>68</v>
      </c>
      <c r="I76" s="7" t="s">
        <v>80</v>
      </c>
      <c r="J76" s="7" t="s">
        <v>73</v>
      </c>
      <c r="K76" s="7">
        <v>60</v>
      </c>
      <c r="L76" s="7" t="s">
        <v>73</v>
      </c>
      <c r="M76" s="7" t="s">
        <v>73</v>
      </c>
      <c r="N76" s="7" t="s">
        <v>73</v>
      </c>
      <c r="O76" s="7">
        <v>100</v>
      </c>
      <c r="P76" s="7" t="s">
        <v>73</v>
      </c>
      <c r="Q76" s="10"/>
      <c r="R76" s="10"/>
      <c r="S76" s="10"/>
      <c r="T76" s="10"/>
      <c r="U76" s="10"/>
      <c r="V76" s="10"/>
      <c r="W76" s="10"/>
      <c r="X76" s="10"/>
      <c r="Y76" s="10"/>
      <c r="Z76" s="10"/>
      <c r="AA76" s="10"/>
      <c r="AB76" s="10"/>
      <c r="AC76" s="10"/>
      <c r="AD76" s="10"/>
      <c r="AE76" s="10"/>
      <c r="AF76" s="10"/>
      <c r="AG76" s="11">
        <v>100</v>
      </c>
    </row>
    <row r="77" spans="1:33" s="11" customFormat="1" x14ac:dyDescent="0.3">
      <c r="A77" s="7" t="s">
        <v>220</v>
      </c>
      <c r="B77" s="7" t="s">
        <v>167</v>
      </c>
      <c r="C77" s="7" t="s">
        <v>66</v>
      </c>
      <c r="D77" s="7">
        <v>2</v>
      </c>
      <c r="E77" s="21" t="s">
        <v>223</v>
      </c>
      <c r="F77" s="7">
        <v>738</v>
      </c>
      <c r="G77" s="7">
        <v>1</v>
      </c>
      <c r="H77" s="7" t="s">
        <v>68</v>
      </c>
      <c r="I77" s="7" t="s">
        <v>80</v>
      </c>
      <c r="J77" s="7" t="s">
        <v>73</v>
      </c>
      <c r="K77" s="7">
        <v>60</v>
      </c>
      <c r="L77" s="7" t="s">
        <v>73</v>
      </c>
      <c r="M77" s="7" t="s">
        <v>73</v>
      </c>
      <c r="N77" s="7" t="s">
        <v>73</v>
      </c>
      <c r="O77" s="7">
        <v>100</v>
      </c>
      <c r="P77" s="7" t="s">
        <v>73</v>
      </c>
      <c r="Q77" s="10"/>
      <c r="R77" s="10"/>
      <c r="S77" s="10"/>
      <c r="T77" s="10"/>
      <c r="U77" s="10"/>
      <c r="V77" s="10"/>
      <c r="W77" s="10"/>
      <c r="X77" s="10"/>
      <c r="Y77" s="10"/>
      <c r="Z77" s="10"/>
      <c r="AA77" s="10"/>
      <c r="AB77" s="10"/>
      <c r="AC77" s="10"/>
      <c r="AD77" s="10"/>
      <c r="AE77" s="10"/>
      <c r="AF77" s="10"/>
      <c r="AG77" s="11">
        <v>100</v>
      </c>
    </row>
    <row r="78" spans="1:33" s="11" customFormat="1" x14ac:dyDescent="0.3">
      <c r="A78" s="7" t="s">
        <v>220</v>
      </c>
      <c r="B78" s="7" t="s">
        <v>70</v>
      </c>
      <c r="C78" s="7" t="s">
        <v>66</v>
      </c>
      <c r="D78" s="7">
        <v>2</v>
      </c>
      <c r="E78" s="21" t="s">
        <v>224</v>
      </c>
      <c r="F78" s="7">
        <v>739</v>
      </c>
      <c r="G78" s="7">
        <v>0.8</v>
      </c>
      <c r="H78" s="7" t="s">
        <v>68</v>
      </c>
      <c r="I78" s="7" t="s">
        <v>69</v>
      </c>
      <c r="J78" s="7" t="s">
        <v>73</v>
      </c>
      <c r="K78" s="7">
        <v>30</v>
      </c>
      <c r="L78" s="7" t="s">
        <v>73</v>
      </c>
      <c r="M78" s="7" t="s">
        <v>73</v>
      </c>
      <c r="N78" s="7" t="s">
        <v>73</v>
      </c>
      <c r="O78" s="7">
        <v>100</v>
      </c>
      <c r="P78" s="7" t="s">
        <v>73</v>
      </c>
      <c r="Q78" s="10"/>
      <c r="R78" s="10"/>
      <c r="S78" s="10"/>
      <c r="T78" s="10"/>
      <c r="U78" s="10"/>
      <c r="V78" s="10"/>
      <c r="W78" s="10"/>
      <c r="X78" s="10"/>
      <c r="Y78" s="10"/>
      <c r="Z78" s="10"/>
      <c r="AA78" s="10"/>
      <c r="AB78" s="10"/>
      <c r="AC78" s="10"/>
      <c r="AD78" s="10"/>
      <c r="AE78" s="10"/>
      <c r="AF78" s="10"/>
      <c r="AG78" s="11">
        <v>100</v>
      </c>
    </row>
    <row r="79" spans="1:33" s="11" customFormat="1" x14ac:dyDescent="0.3">
      <c r="A79" s="7" t="s">
        <v>225</v>
      </c>
      <c r="B79" s="7" t="s">
        <v>84</v>
      </c>
      <c r="C79" s="7" t="s">
        <v>66</v>
      </c>
      <c r="D79" s="7">
        <v>2</v>
      </c>
      <c r="E79" s="21" t="s">
        <v>226</v>
      </c>
      <c r="F79" s="7">
        <v>467</v>
      </c>
      <c r="G79" s="7">
        <v>1</v>
      </c>
      <c r="H79" s="7" t="s">
        <v>68</v>
      </c>
      <c r="I79" s="7" t="s">
        <v>80</v>
      </c>
      <c r="J79" s="7" t="s">
        <v>73</v>
      </c>
      <c r="K79" s="7">
        <v>60</v>
      </c>
      <c r="L79" s="7" t="s">
        <v>73</v>
      </c>
      <c r="M79" s="7" t="s">
        <v>73</v>
      </c>
      <c r="N79" s="7" t="s">
        <v>73</v>
      </c>
      <c r="O79" s="7">
        <v>100</v>
      </c>
      <c r="P79" s="7" t="s">
        <v>73</v>
      </c>
      <c r="Q79" s="10"/>
      <c r="R79" s="10"/>
      <c r="S79" s="10"/>
      <c r="T79" s="10"/>
      <c r="U79" s="10"/>
      <c r="V79" s="10"/>
      <c r="W79" s="10"/>
      <c r="X79" s="10"/>
      <c r="Y79" s="10"/>
      <c r="Z79" s="10"/>
      <c r="AA79" s="10"/>
      <c r="AB79" s="10"/>
      <c r="AC79" s="10"/>
      <c r="AD79" s="10"/>
      <c r="AE79" s="10"/>
      <c r="AF79" s="10"/>
      <c r="AG79" s="11">
        <v>100</v>
      </c>
    </row>
    <row r="80" spans="1:33" s="11" customFormat="1" x14ac:dyDescent="0.3">
      <c r="A80" s="7" t="s">
        <v>227</v>
      </c>
      <c r="B80" s="7" t="s">
        <v>84</v>
      </c>
      <c r="C80" s="7" t="s">
        <v>66</v>
      </c>
      <c r="D80" s="7">
        <v>2</v>
      </c>
      <c r="E80" s="21" t="s">
        <v>228</v>
      </c>
      <c r="F80" s="7">
        <v>740</v>
      </c>
      <c r="G80" s="7">
        <v>1</v>
      </c>
      <c r="H80" s="7" t="s">
        <v>68</v>
      </c>
      <c r="I80" s="7" t="s">
        <v>80</v>
      </c>
      <c r="J80" s="7" t="s">
        <v>73</v>
      </c>
      <c r="K80" s="7">
        <v>60</v>
      </c>
      <c r="L80" s="7" t="s">
        <v>73</v>
      </c>
      <c r="M80" s="7" t="s">
        <v>73</v>
      </c>
      <c r="N80" s="7" t="s">
        <v>73</v>
      </c>
      <c r="O80" s="7">
        <v>100</v>
      </c>
      <c r="P80" s="7" t="s">
        <v>73</v>
      </c>
      <c r="Q80" s="10"/>
      <c r="R80" s="10"/>
      <c r="S80" s="10"/>
      <c r="T80" s="10"/>
      <c r="U80" s="10"/>
      <c r="V80" s="10"/>
      <c r="W80" s="10"/>
      <c r="X80" s="10"/>
      <c r="Y80" s="10"/>
      <c r="Z80" s="10"/>
      <c r="AA80" s="10"/>
      <c r="AB80" s="10"/>
      <c r="AC80" s="10"/>
      <c r="AD80" s="10"/>
      <c r="AE80" s="10"/>
      <c r="AF80" s="10"/>
      <c r="AG80" s="11">
        <v>100</v>
      </c>
    </row>
    <row r="81" spans="1:35" s="11" customFormat="1" x14ac:dyDescent="0.3">
      <c r="A81" s="7" t="s">
        <v>229</v>
      </c>
      <c r="B81" s="7" t="s">
        <v>221</v>
      </c>
      <c r="C81" s="7" t="s">
        <v>66</v>
      </c>
      <c r="D81" s="7">
        <v>2</v>
      </c>
      <c r="E81" s="21" t="s">
        <v>230</v>
      </c>
      <c r="F81" s="7">
        <v>37</v>
      </c>
      <c r="G81" s="7">
        <v>1</v>
      </c>
      <c r="H81" s="7" t="s">
        <v>68</v>
      </c>
      <c r="I81" s="7" t="s">
        <v>80</v>
      </c>
      <c r="J81" s="7" t="s">
        <v>73</v>
      </c>
      <c r="K81" s="7">
        <v>60</v>
      </c>
      <c r="L81" s="7" t="s">
        <v>73</v>
      </c>
      <c r="M81" s="7" t="s">
        <v>73</v>
      </c>
      <c r="N81" s="7" t="s">
        <v>73</v>
      </c>
      <c r="O81" s="7">
        <v>100</v>
      </c>
      <c r="P81" s="7" t="s">
        <v>73</v>
      </c>
      <c r="Q81" s="10"/>
      <c r="R81" s="10"/>
      <c r="S81" s="10"/>
      <c r="T81" s="10"/>
      <c r="U81" s="10"/>
      <c r="V81" s="10"/>
      <c r="W81" s="10"/>
      <c r="X81" s="10"/>
      <c r="Y81" s="10"/>
      <c r="Z81" s="10"/>
      <c r="AA81" s="10"/>
      <c r="AB81" s="10"/>
      <c r="AC81" s="10"/>
      <c r="AD81" s="10"/>
      <c r="AE81" s="10"/>
      <c r="AF81" s="10"/>
      <c r="AG81" s="11">
        <v>100</v>
      </c>
    </row>
    <row r="82" spans="1:35" s="11" customFormat="1" x14ac:dyDescent="0.3">
      <c r="A82" s="7" t="s">
        <v>231</v>
      </c>
      <c r="B82" s="7" t="s">
        <v>84</v>
      </c>
      <c r="C82" s="7" t="s">
        <v>66</v>
      </c>
      <c r="D82" s="7">
        <v>2</v>
      </c>
      <c r="E82" s="21" t="s">
        <v>232</v>
      </c>
      <c r="F82" s="7">
        <v>746</v>
      </c>
      <c r="G82" s="7">
        <v>1</v>
      </c>
      <c r="H82" s="7" t="s">
        <v>68</v>
      </c>
      <c r="I82" s="7" t="s">
        <v>80</v>
      </c>
      <c r="J82" s="7" t="s">
        <v>73</v>
      </c>
      <c r="K82" s="7">
        <v>60</v>
      </c>
      <c r="L82" s="7" t="s">
        <v>73</v>
      </c>
      <c r="M82" s="7" t="s">
        <v>73</v>
      </c>
      <c r="N82" s="7" t="s">
        <v>73</v>
      </c>
      <c r="O82" s="7">
        <v>100</v>
      </c>
      <c r="P82" s="7" t="s">
        <v>73</v>
      </c>
      <c r="Q82" s="10"/>
      <c r="R82" s="10"/>
      <c r="S82" s="10"/>
      <c r="T82" s="10"/>
      <c r="U82" s="10"/>
      <c r="V82" s="10"/>
      <c r="W82" s="10"/>
      <c r="X82" s="10"/>
      <c r="Y82" s="10"/>
      <c r="Z82" s="10"/>
      <c r="AA82" s="10"/>
      <c r="AB82" s="10"/>
      <c r="AC82" s="10"/>
      <c r="AD82" s="10"/>
      <c r="AE82" s="10"/>
      <c r="AF82" s="10"/>
      <c r="AG82" s="11">
        <v>100</v>
      </c>
    </row>
    <row r="83" spans="1:35" s="11" customFormat="1" x14ac:dyDescent="0.3">
      <c r="A83" s="7" t="s">
        <v>233</v>
      </c>
      <c r="B83" s="7" t="s">
        <v>84</v>
      </c>
      <c r="C83" s="7" t="s">
        <v>66</v>
      </c>
      <c r="D83" s="7">
        <v>2</v>
      </c>
      <c r="E83" s="21" t="s">
        <v>234</v>
      </c>
      <c r="F83" s="7">
        <v>743</v>
      </c>
      <c r="G83" s="7">
        <v>1</v>
      </c>
      <c r="H83" s="7" t="s">
        <v>68</v>
      </c>
      <c r="I83" s="7" t="s">
        <v>80</v>
      </c>
      <c r="J83" s="7" t="s">
        <v>73</v>
      </c>
      <c r="K83" s="7">
        <v>60</v>
      </c>
      <c r="L83" s="7" t="s">
        <v>73</v>
      </c>
      <c r="M83" s="7" t="s">
        <v>73</v>
      </c>
      <c r="N83" s="7" t="s">
        <v>73</v>
      </c>
      <c r="O83" s="7">
        <v>100</v>
      </c>
      <c r="P83" s="7" t="s">
        <v>73</v>
      </c>
      <c r="Q83" s="10"/>
      <c r="R83" s="10"/>
      <c r="S83" s="10"/>
      <c r="T83" s="10"/>
      <c r="U83" s="10"/>
      <c r="V83" s="10"/>
      <c r="W83" s="10"/>
      <c r="X83" s="10"/>
      <c r="Y83" s="10"/>
      <c r="Z83" s="10"/>
      <c r="AA83" s="10"/>
      <c r="AB83" s="10"/>
      <c r="AC83" s="10"/>
      <c r="AD83" s="10"/>
      <c r="AE83" s="10"/>
      <c r="AF83" s="10"/>
      <c r="AG83" s="11">
        <v>100</v>
      </c>
    </row>
    <row r="84" spans="1:35" s="11" customFormat="1" x14ac:dyDescent="0.3">
      <c r="A84" s="7" t="s">
        <v>235</v>
      </c>
      <c r="B84" s="7" t="s">
        <v>84</v>
      </c>
      <c r="C84" s="7" t="s">
        <v>66</v>
      </c>
      <c r="D84" s="7">
        <v>2</v>
      </c>
      <c r="E84" s="21" t="s">
        <v>236</v>
      </c>
      <c r="F84" s="7">
        <v>1530</v>
      </c>
      <c r="G84" s="7">
        <v>1</v>
      </c>
      <c r="H84" s="7" t="s">
        <v>68</v>
      </c>
      <c r="I84" s="7" t="s">
        <v>80</v>
      </c>
      <c r="J84" s="7" t="s">
        <v>73</v>
      </c>
      <c r="K84" s="7">
        <v>60</v>
      </c>
      <c r="L84" s="7" t="s">
        <v>73</v>
      </c>
      <c r="M84" s="7" t="s">
        <v>73</v>
      </c>
      <c r="N84" s="7" t="s">
        <v>73</v>
      </c>
      <c r="O84" s="7">
        <v>100</v>
      </c>
      <c r="P84" s="7" t="s">
        <v>73</v>
      </c>
      <c r="Q84" s="10"/>
      <c r="R84" s="10"/>
      <c r="S84" s="10"/>
      <c r="T84" s="10"/>
      <c r="U84" s="10"/>
      <c r="V84" s="10"/>
      <c r="W84" s="10"/>
      <c r="X84" s="10"/>
      <c r="Y84" s="10"/>
      <c r="Z84" s="10"/>
      <c r="AA84" s="10"/>
      <c r="AB84" s="10"/>
      <c r="AC84" s="10"/>
      <c r="AD84" s="10"/>
      <c r="AE84" s="10"/>
      <c r="AF84" s="10"/>
      <c r="AG84" s="11">
        <v>100</v>
      </c>
    </row>
    <row r="85" spans="1:35" s="11" customFormat="1" x14ac:dyDescent="0.3">
      <c r="A85" s="7" t="s">
        <v>237</v>
      </c>
      <c r="B85" s="7" t="s">
        <v>84</v>
      </c>
      <c r="C85" s="7" t="s">
        <v>66</v>
      </c>
      <c r="D85" s="7">
        <v>2</v>
      </c>
      <c r="E85" s="21" t="s">
        <v>238</v>
      </c>
      <c r="F85" s="7">
        <v>745</v>
      </c>
      <c r="G85" s="7">
        <v>1</v>
      </c>
      <c r="H85" s="7" t="s">
        <v>68</v>
      </c>
      <c r="I85" s="7" t="s">
        <v>80</v>
      </c>
      <c r="J85" s="7" t="s">
        <v>73</v>
      </c>
      <c r="K85" s="7">
        <v>60</v>
      </c>
      <c r="L85" s="7" t="s">
        <v>73</v>
      </c>
      <c r="M85" s="7" t="s">
        <v>73</v>
      </c>
      <c r="N85" s="7" t="s">
        <v>73</v>
      </c>
      <c r="O85" s="7">
        <v>100</v>
      </c>
      <c r="P85" s="7" t="s">
        <v>73</v>
      </c>
      <c r="Q85" s="10"/>
      <c r="R85" s="10"/>
      <c r="S85" s="10"/>
      <c r="T85" s="10"/>
      <c r="U85" s="10"/>
      <c r="V85" s="10"/>
      <c r="W85" s="10"/>
      <c r="X85" s="10"/>
      <c r="Y85" s="10"/>
      <c r="Z85" s="10"/>
      <c r="AA85" s="10"/>
      <c r="AB85" s="10"/>
      <c r="AC85" s="10"/>
      <c r="AD85" s="10"/>
      <c r="AE85" s="10"/>
      <c r="AF85" s="10"/>
      <c r="AG85" s="11">
        <v>100</v>
      </c>
    </row>
    <row r="86" spans="1:35" s="11" customFormat="1" x14ac:dyDescent="0.3">
      <c r="A86" s="7" t="s">
        <v>239</v>
      </c>
      <c r="B86" s="7" t="s">
        <v>84</v>
      </c>
      <c r="C86" s="7" t="s">
        <v>66</v>
      </c>
      <c r="D86" s="7">
        <v>2</v>
      </c>
      <c r="E86" s="21" t="s">
        <v>240</v>
      </c>
      <c r="F86" s="7">
        <v>742</v>
      </c>
      <c r="G86" s="7">
        <v>1</v>
      </c>
      <c r="H86" s="7" t="s">
        <v>68</v>
      </c>
      <c r="I86" s="7" t="s">
        <v>80</v>
      </c>
      <c r="J86" s="7" t="s">
        <v>73</v>
      </c>
      <c r="K86" s="7">
        <v>60</v>
      </c>
      <c r="L86" s="7" t="s">
        <v>73</v>
      </c>
      <c r="M86" s="7" t="s">
        <v>73</v>
      </c>
      <c r="N86" s="7" t="s">
        <v>73</v>
      </c>
      <c r="O86" s="7">
        <v>100</v>
      </c>
      <c r="P86" s="7" t="s">
        <v>73</v>
      </c>
      <c r="Q86" s="10"/>
      <c r="R86" s="10"/>
      <c r="S86" s="10"/>
      <c r="T86" s="10"/>
      <c r="U86" s="10"/>
      <c r="V86" s="10"/>
      <c r="W86" s="10"/>
      <c r="X86" s="10"/>
      <c r="Y86" s="10"/>
      <c r="Z86" s="10"/>
      <c r="AA86" s="10"/>
      <c r="AB86" s="10"/>
      <c r="AC86" s="10"/>
      <c r="AD86" s="10"/>
      <c r="AE86" s="10"/>
      <c r="AF86" s="10"/>
      <c r="AG86" s="11">
        <v>100</v>
      </c>
    </row>
    <row r="87" spans="1:35" s="11" customFormat="1" x14ac:dyDescent="0.3">
      <c r="A87" s="7" t="s">
        <v>241</v>
      </c>
      <c r="B87" s="7" t="s">
        <v>70</v>
      </c>
      <c r="C87" s="7" t="s">
        <v>66</v>
      </c>
      <c r="D87" s="7">
        <v>2</v>
      </c>
      <c r="E87" s="21" t="s">
        <v>242</v>
      </c>
      <c r="F87" s="7">
        <v>1257</v>
      </c>
      <c r="G87" s="7">
        <v>0.8</v>
      </c>
      <c r="H87" s="7" t="s">
        <v>68</v>
      </c>
      <c r="I87" s="7" t="s">
        <v>69</v>
      </c>
      <c r="J87" s="7" t="s">
        <v>73</v>
      </c>
      <c r="K87" s="7">
        <v>30</v>
      </c>
      <c r="L87" s="7" t="s">
        <v>73</v>
      </c>
      <c r="M87" s="7" t="s">
        <v>73</v>
      </c>
      <c r="N87" s="7" t="s">
        <v>73</v>
      </c>
      <c r="O87" s="7">
        <v>100</v>
      </c>
      <c r="P87" s="7" t="s">
        <v>73</v>
      </c>
      <c r="Q87" s="10"/>
      <c r="R87" s="10"/>
      <c r="S87" s="10"/>
      <c r="T87" s="10"/>
      <c r="U87" s="10"/>
      <c r="V87" s="10"/>
      <c r="W87" s="10"/>
      <c r="X87" s="10"/>
      <c r="Y87" s="10"/>
      <c r="Z87" s="10"/>
      <c r="AA87" s="10"/>
      <c r="AB87" s="10"/>
      <c r="AC87" s="10"/>
      <c r="AD87" s="10"/>
      <c r="AE87" s="10"/>
      <c r="AF87" s="10"/>
      <c r="AG87" s="11">
        <v>100</v>
      </c>
    </row>
    <row r="88" spans="1:35" s="11" customFormat="1" x14ac:dyDescent="0.3">
      <c r="A88" s="7" t="s">
        <v>243</v>
      </c>
      <c r="B88" s="7" t="s">
        <v>84</v>
      </c>
      <c r="C88" s="7" t="s">
        <v>66</v>
      </c>
      <c r="D88" s="7">
        <v>2</v>
      </c>
      <c r="E88" s="21" t="s">
        <v>244</v>
      </c>
      <c r="F88" s="7">
        <v>744</v>
      </c>
      <c r="G88" s="7">
        <v>1</v>
      </c>
      <c r="H88" s="7" t="s">
        <v>68</v>
      </c>
      <c r="I88" s="7" t="s">
        <v>80</v>
      </c>
      <c r="J88" s="7" t="s">
        <v>73</v>
      </c>
      <c r="K88" s="7">
        <v>60</v>
      </c>
      <c r="L88" s="7" t="s">
        <v>73</v>
      </c>
      <c r="M88" s="7" t="s">
        <v>73</v>
      </c>
      <c r="N88" s="7" t="s">
        <v>73</v>
      </c>
      <c r="O88" s="7">
        <v>100</v>
      </c>
      <c r="P88" s="7" t="s">
        <v>73</v>
      </c>
      <c r="Q88" s="10"/>
      <c r="R88" s="10"/>
      <c r="S88" s="10"/>
      <c r="T88" s="10"/>
      <c r="U88" s="10"/>
      <c r="V88" s="10"/>
      <c r="W88" s="10"/>
      <c r="X88" s="10"/>
      <c r="Y88" s="10"/>
      <c r="Z88" s="10"/>
      <c r="AA88" s="10"/>
      <c r="AB88" s="10"/>
      <c r="AC88" s="10"/>
      <c r="AD88" s="10"/>
      <c r="AE88" s="10"/>
      <c r="AF88" s="10"/>
      <c r="AG88" s="11">
        <v>100</v>
      </c>
    </row>
    <row r="89" spans="1:35" s="11" customFormat="1" x14ac:dyDescent="0.3">
      <c r="A89" s="7" t="s">
        <v>245</v>
      </c>
      <c r="B89" s="7" t="s">
        <v>84</v>
      </c>
      <c r="C89" s="7" t="s">
        <v>66</v>
      </c>
      <c r="D89" s="7">
        <v>2</v>
      </c>
      <c r="E89" s="21" t="s">
        <v>246</v>
      </c>
      <c r="F89" s="7">
        <v>741</v>
      </c>
      <c r="G89" s="7">
        <v>1</v>
      </c>
      <c r="H89" s="7" t="s">
        <v>68</v>
      </c>
      <c r="I89" s="7" t="s">
        <v>80</v>
      </c>
      <c r="J89" s="7" t="s">
        <v>73</v>
      </c>
      <c r="K89" s="7">
        <v>60</v>
      </c>
      <c r="L89" s="7" t="s">
        <v>73</v>
      </c>
      <c r="M89" s="7" t="s">
        <v>73</v>
      </c>
      <c r="N89" s="7" t="s">
        <v>73</v>
      </c>
      <c r="O89" s="7">
        <v>100</v>
      </c>
      <c r="P89" s="7" t="s">
        <v>73</v>
      </c>
      <c r="Q89" s="10"/>
      <c r="R89" s="10"/>
      <c r="S89" s="10"/>
      <c r="T89" s="10"/>
      <c r="U89" s="10"/>
      <c r="V89" s="10"/>
      <c r="W89" s="10"/>
      <c r="X89" s="10"/>
      <c r="Y89" s="10"/>
      <c r="Z89" s="10"/>
      <c r="AA89" s="10"/>
      <c r="AB89" s="10"/>
      <c r="AC89" s="10"/>
      <c r="AD89" s="10"/>
      <c r="AE89" s="10"/>
      <c r="AF89" s="10"/>
      <c r="AG89" s="11">
        <v>100</v>
      </c>
    </row>
    <row r="90" spans="1:35" s="11" customFormat="1" x14ac:dyDescent="0.3">
      <c r="A90" s="7" t="s">
        <v>247</v>
      </c>
      <c r="B90" s="7" t="s">
        <v>84</v>
      </c>
      <c r="C90" s="7" t="s">
        <v>66</v>
      </c>
      <c r="D90" s="7">
        <v>2</v>
      </c>
      <c r="E90" s="21" t="s">
        <v>248</v>
      </c>
      <c r="F90" s="7">
        <v>749</v>
      </c>
      <c r="G90" s="7">
        <v>1</v>
      </c>
      <c r="H90" s="7" t="s">
        <v>68</v>
      </c>
      <c r="I90" s="7" t="s">
        <v>80</v>
      </c>
      <c r="J90" s="7" t="s">
        <v>73</v>
      </c>
      <c r="K90" s="7">
        <v>60</v>
      </c>
      <c r="L90" s="7" t="s">
        <v>73</v>
      </c>
      <c r="M90" s="7" t="s">
        <v>73</v>
      </c>
      <c r="N90" s="7" t="s">
        <v>73</v>
      </c>
      <c r="O90" s="7">
        <v>100</v>
      </c>
      <c r="P90" s="7" t="s">
        <v>73</v>
      </c>
      <c r="Q90" s="10"/>
      <c r="R90" s="10"/>
      <c r="S90" s="10"/>
      <c r="T90" s="10"/>
      <c r="U90" s="10"/>
      <c r="V90" s="10"/>
      <c r="W90" s="10"/>
      <c r="X90" s="10"/>
      <c r="Y90" s="10"/>
      <c r="Z90" s="10"/>
      <c r="AA90" s="10"/>
      <c r="AB90" s="10"/>
      <c r="AC90" s="10"/>
      <c r="AD90" s="10"/>
      <c r="AE90" s="10"/>
      <c r="AF90" s="10"/>
      <c r="AG90" s="11">
        <v>100</v>
      </c>
    </row>
    <row r="91" spans="1:35" s="11" customFormat="1" x14ac:dyDescent="0.3">
      <c r="A91" s="7" t="s">
        <v>249</v>
      </c>
      <c r="B91" s="7" t="s">
        <v>167</v>
      </c>
      <c r="C91" s="7" t="s">
        <v>66</v>
      </c>
      <c r="D91" s="7">
        <v>2</v>
      </c>
      <c r="E91" s="21" t="s">
        <v>250</v>
      </c>
      <c r="F91" s="7">
        <v>748</v>
      </c>
      <c r="G91" s="7">
        <v>1</v>
      </c>
      <c r="H91" s="7" t="s">
        <v>68</v>
      </c>
      <c r="I91" s="7" t="s">
        <v>80</v>
      </c>
      <c r="J91" s="7" t="s">
        <v>73</v>
      </c>
      <c r="K91" s="7">
        <v>60</v>
      </c>
      <c r="L91" s="7" t="s">
        <v>73</v>
      </c>
      <c r="M91" s="7" t="s">
        <v>73</v>
      </c>
      <c r="N91" s="7" t="s">
        <v>73</v>
      </c>
      <c r="O91" s="7">
        <v>100</v>
      </c>
      <c r="P91" s="7" t="s">
        <v>73</v>
      </c>
      <c r="Q91" s="10"/>
      <c r="R91" s="10"/>
      <c r="S91" s="10"/>
      <c r="T91" s="10"/>
      <c r="U91" s="10"/>
      <c r="V91" s="10"/>
      <c r="W91" s="10"/>
      <c r="X91" s="10"/>
      <c r="Y91" s="10"/>
      <c r="Z91" s="10"/>
      <c r="AA91" s="10"/>
      <c r="AB91" s="10"/>
      <c r="AC91" s="10"/>
      <c r="AD91" s="10"/>
      <c r="AE91" s="10"/>
      <c r="AF91" s="10"/>
      <c r="AG91" s="11">
        <v>100</v>
      </c>
    </row>
    <row r="92" spans="1:35" s="11" customFormat="1" x14ac:dyDescent="0.3">
      <c r="A92" s="7" t="s">
        <v>251</v>
      </c>
      <c r="B92" s="7" t="s">
        <v>167</v>
      </c>
      <c r="C92" s="7" t="s">
        <v>66</v>
      </c>
      <c r="D92" s="7">
        <v>2</v>
      </c>
      <c r="E92" s="21" t="s">
        <v>252</v>
      </c>
      <c r="F92" s="7">
        <v>747</v>
      </c>
      <c r="G92" s="7">
        <v>1</v>
      </c>
      <c r="H92" s="7" t="s">
        <v>68</v>
      </c>
      <c r="I92" s="7" t="s">
        <v>80</v>
      </c>
      <c r="J92" s="7" t="s">
        <v>73</v>
      </c>
      <c r="K92" s="7">
        <v>60</v>
      </c>
      <c r="L92" s="7" t="s">
        <v>73</v>
      </c>
      <c r="M92" s="7" t="s">
        <v>73</v>
      </c>
      <c r="N92" s="7" t="s">
        <v>73</v>
      </c>
      <c r="O92" s="7">
        <v>100</v>
      </c>
      <c r="P92" s="7" t="s">
        <v>73</v>
      </c>
      <c r="Q92" s="10"/>
      <c r="R92" s="10"/>
      <c r="S92" s="10"/>
      <c r="T92" s="10"/>
      <c r="U92" s="10"/>
      <c r="V92" s="10"/>
      <c r="W92" s="10"/>
      <c r="X92" s="10"/>
      <c r="Y92" s="10"/>
      <c r="Z92" s="10"/>
      <c r="AA92" s="10"/>
      <c r="AB92" s="10"/>
      <c r="AC92" s="10"/>
      <c r="AD92" s="10"/>
      <c r="AE92" s="10"/>
      <c r="AF92" s="10"/>
      <c r="AG92" s="11">
        <v>100</v>
      </c>
    </row>
    <row r="93" spans="1:35" s="11" customFormat="1" x14ac:dyDescent="0.3">
      <c r="A93" s="7" t="s">
        <v>253</v>
      </c>
      <c r="B93" s="7" t="s">
        <v>70</v>
      </c>
      <c r="C93" s="7" t="s">
        <v>66</v>
      </c>
      <c r="D93" s="7">
        <v>2</v>
      </c>
      <c r="E93" s="21" t="s">
        <v>254</v>
      </c>
      <c r="F93" s="7">
        <v>1516</v>
      </c>
      <c r="G93" s="7">
        <v>0.8</v>
      </c>
      <c r="H93" s="7" t="s">
        <v>68</v>
      </c>
      <c r="I93" s="7" t="s">
        <v>69</v>
      </c>
      <c r="J93" s="7" t="s">
        <v>73</v>
      </c>
      <c r="K93" s="7">
        <v>30</v>
      </c>
      <c r="L93" s="7" t="s">
        <v>73</v>
      </c>
      <c r="M93" s="7" t="s">
        <v>73</v>
      </c>
      <c r="N93" s="7" t="s">
        <v>73</v>
      </c>
      <c r="O93" s="7">
        <v>100</v>
      </c>
      <c r="P93" s="7" t="s">
        <v>73</v>
      </c>
      <c r="Q93" s="10"/>
      <c r="R93" s="10"/>
      <c r="S93" s="10"/>
      <c r="T93" s="10"/>
      <c r="U93" s="10"/>
      <c r="V93" s="10"/>
      <c r="W93" s="10"/>
      <c r="X93" s="10"/>
      <c r="Y93" s="10"/>
      <c r="Z93" s="10"/>
      <c r="AA93" s="10"/>
      <c r="AB93" s="10"/>
      <c r="AC93" s="10"/>
      <c r="AD93" s="10"/>
      <c r="AE93" s="10"/>
      <c r="AF93" s="10"/>
      <c r="AG93" s="11">
        <f>(20/30)*100</f>
        <v>66.666666666666657</v>
      </c>
      <c r="AH93" s="11">
        <f>(5/30)*100</f>
        <v>16.666666666666664</v>
      </c>
      <c r="AI93" s="11">
        <f>(5/30)*100</f>
        <v>16.666666666666664</v>
      </c>
    </row>
    <row r="94" spans="1:35" s="11" customFormat="1" x14ac:dyDescent="0.3">
      <c r="A94" s="7" t="s">
        <v>229</v>
      </c>
      <c r="B94" s="7" t="s">
        <v>70</v>
      </c>
      <c r="C94" s="7" t="s">
        <v>66</v>
      </c>
      <c r="D94" s="7">
        <v>2</v>
      </c>
      <c r="E94" s="21" t="s">
        <v>255</v>
      </c>
      <c r="F94" s="7">
        <v>39</v>
      </c>
      <c r="G94" s="7">
        <v>0.8</v>
      </c>
      <c r="H94" s="7" t="s">
        <v>68</v>
      </c>
      <c r="I94" s="7" t="s">
        <v>69</v>
      </c>
      <c r="J94" s="7" t="s">
        <v>73</v>
      </c>
      <c r="K94" s="7">
        <v>30</v>
      </c>
      <c r="L94" s="7" t="s">
        <v>73</v>
      </c>
      <c r="M94" s="7" t="s">
        <v>73</v>
      </c>
      <c r="N94" s="7" t="s">
        <v>73</v>
      </c>
      <c r="O94" s="7">
        <v>100</v>
      </c>
      <c r="P94" s="7" t="s">
        <v>73</v>
      </c>
      <c r="Q94" s="10"/>
      <c r="R94" s="10"/>
      <c r="S94" s="10"/>
      <c r="T94" s="10"/>
      <c r="U94" s="10"/>
      <c r="V94" s="10"/>
      <c r="W94" s="10"/>
      <c r="X94" s="10"/>
      <c r="Y94" s="10"/>
      <c r="Z94" s="10"/>
      <c r="AA94" s="10"/>
      <c r="AB94" s="10"/>
      <c r="AC94" s="10"/>
      <c r="AD94" s="10"/>
      <c r="AE94" s="10"/>
      <c r="AF94" s="10"/>
      <c r="AG94" s="11">
        <v>100</v>
      </c>
    </row>
    <row r="95" spans="1:35" s="11" customFormat="1" x14ac:dyDescent="0.3">
      <c r="A95" s="7" t="s">
        <v>229</v>
      </c>
      <c r="B95" s="7" t="s">
        <v>84</v>
      </c>
      <c r="C95" s="7" t="s">
        <v>66</v>
      </c>
      <c r="D95" s="7">
        <v>2</v>
      </c>
      <c r="E95" s="21" t="s">
        <v>256</v>
      </c>
      <c r="F95" s="7">
        <v>38</v>
      </c>
      <c r="G95" s="7">
        <v>1</v>
      </c>
      <c r="H95" s="7" t="s">
        <v>68</v>
      </c>
      <c r="I95" s="7" t="s">
        <v>80</v>
      </c>
      <c r="J95" s="7" t="s">
        <v>73</v>
      </c>
      <c r="K95" s="7">
        <v>60</v>
      </c>
      <c r="L95" s="7" t="s">
        <v>73</v>
      </c>
      <c r="M95" s="7" t="s">
        <v>73</v>
      </c>
      <c r="N95" s="7" t="s">
        <v>73</v>
      </c>
      <c r="O95" s="7">
        <v>100</v>
      </c>
      <c r="P95" s="7" t="s">
        <v>73</v>
      </c>
      <c r="Q95" s="10"/>
      <c r="R95" s="10"/>
      <c r="S95" s="10"/>
      <c r="T95" s="10"/>
      <c r="U95" s="10"/>
      <c r="V95" s="10"/>
      <c r="W95" s="10"/>
      <c r="X95" s="10"/>
      <c r="Y95" s="10"/>
      <c r="Z95" s="10"/>
      <c r="AA95" s="10"/>
      <c r="AB95" s="10"/>
      <c r="AC95" s="10"/>
      <c r="AD95" s="10"/>
      <c r="AE95" s="10"/>
      <c r="AF95" s="10"/>
      <c r="AG95" s="11">
        <v>100</v>
      </c>
    </row>
    <row r="96" spans="1:35" s="11" customFormat="1" x14ac:dyDescent="0.3">
      <c r="A96" s="7" t="s">
        <v>257</v>
      </c>
      <c r="B96" s="7" t="s">
        <v>167</v>
      </c>
      <c r="C96" s="7" t="s">
        <v>66</v>
      </c>
      <c r="D96" s="7">
        <v>2</v>
      </c>
      <c r="E96" s="21" t="s">
        <v>258</v>
      </c>
      <c r="F96" s="7">
        <v>1483</v>
      </c>
      <c r="G96" s="7">
        <v>1</v>
      </c>
      <c r="H96" s="7" t="s">
        <v>68</v>
      </c>
      <c r="I96" s="7" t="s">
        <v>80</v>
      </c>
      <c r="J96" s="7" t="s">
        <v>73</v>
      </c>
      <c r="K96" s="7">
        <v>60</v>
      </c>
      <c r="L96" s="7" t="s">
        <v>73</v>
      </c>
      <c r="M96" s="7" t="s">
        <v>73</v>
      </c>
      <c r="N96" s="7" t="s">
        <v>73</v>
      </c>
      <c r="O96" s="7">
        <v>100</v>
      </c>
      <c r="P96" s="7" t="s">
        <v>73</v>
      </c>
      <c r="Q96" s="10"/>
      <c r="R96" s="10"/>
      <c r="S96" s="10"/>
      <c r="T96" s="10"/>
      <c r="U96" s="10"/>
      <c r="V96" s="10"/>
      <c r="W96" s="10"/>
      <c r="X96" s="10"/>
      <c r="Y96" s="10"/>
      <c r="Z96" s="10"/>
      <c r="AA96" s="10"/>
      <c r="AB96" s="10"/>
      <c r="AC96" s="10"/>
      <c r="AD96" s="10"/>
      <c r="AE96" s="10"/>
      <c r="AF96" s="10"/>
      <c r="AG96" s="11">
        <v>100</v>
      </c>
    </row>
    <row r="97" spans="1:33" s="11" customFormat="1" x14ac:dyDescent="0.3">
      <c r="A97" s="7" t="s">
        <v>259</v>
      </c>
      <c r="B97" s="7" t="s">
        <v>70</v>
      </c>
      <c r="C97" s="7" t="s">
        <v>66</v>
      </c>
      <c r="D97" s="7">
        <v>2</v>
      </c>
      <c r="E97" s="21" t="s">
        <v>260</v>
      </c>
      <c r="F97" s="7">
        <v>707</v>
      </c>
      <c r="G97" s="7">
        <v>0.7</v>
      </c>
      <c r="H97" s="7" t="s">
        <v>68</v>
      </c>
      <c r="I97" s="7" t="s">
        <v>69</v>
      </c>
      <c r="J97" s="7" t="s">
        <v>73</v>
      </c>
      <c r="K97" s="7">
        <v>30</v>
      </c>
      <c r="L97" s="7" t="s">
        <v>73</v>
      </c>
      <c r="M97" s="7" t="s">
        <v>73</v>
      </c>
      <c r="N97" s="7" t="s">
        <v>73</v>
      </c>
      <c r="O97" s="7">
        <v>100</v>
      </c>
      <c r="P97" s="7" t="s">
        <v>73</v>
      </c>
      <c r="Q97" s="10"/>
      <c r="R97" s="10"/>
      <c r="S97" s="10"/>
      <c r="T97" s="10"/>
      <c r="U97" s="10"/>
      <c r="V97" s="10"/>
      <c r="W97" s="10"/>
      <c r="X97" s="10"/>
      <c r="Y97" s="10"/>
      <c r="Z97" s="10"/>
      <c r="AA97" s="10"/>
      <c r="AB97" s="10"/>
      <c r="AC97" s="10"/>
      <c r="AD97" s="10"/>
      <c r="AE97" s="10"/>
      <c r="AF97" s="10"/>
      <c r="AG97" s="11">
        <v>100</v>
      </c>
    </row>
    <row r="98" spans="1:33" s="11" customFormat="1" x14ac:dyDescent="0.3">
      <c r="A98" s="7" t="s">
        <v>261</v>
      </c>
      <c r="B98" s="7" t="s">
        <v>84</v>
      </c>
      <c r="C98" s="7" t="s">
        <v>66</v>
      </c>
      <c r="D98" s="7">
        <v>2</v>
      </c>
      <c r="E98" s="21" t="s">
        <v>262</v>
      </c>
      <c r="F98" s="7">
        <v>1232</v>
      </c>
      <c r="G98" s="7">
        <v>1</v>
      </c>
      <c r="H98" s="7" t="s">
        <v>68</v>
      </c>
      <c r="I98" s="7" t="s">
        <v>80</v>
      </c>
      <c r="J98" s="7" t="s">
        <v>73</v>
      </c>
      <c r="K98" s="7">
        <v>60</v>
      </c>
      <c r="L98" s="7" t="s">
        <v>73</v>
      </c>
      <c r="M98" s="7" t="s">
        <v>73</v>
      </c>
      <c r="N98" s="7" t="s">
        <v>73</v>
      </c>
      <c r="O98" s="7">
        <v>100</v>
      </c>
      <c r="P98" s="7" t="s">
        <v>73</v>
      </c>
      <c r="Q98" s="10"/>
      <c r="R98" s="10"/>
      <c r="S98" s="10"/>
      <c r="T98" s="10"/>
      <c r="U98" s="10"/>
      <c r="V98" s="10"/>
      <c r="W98" s="10"/>
      <c r="X98" s="10"/>
      <c r="Y98" s="10"/>
      <c r="Z98" s="10"/>
      <c r="AA98" s="10"/>
      <c r="AB98" s="10"/>
      <c r="AC98" s="10"/>
      <c r="AD98" s="10"/>
      <c r="AE98" s="10"/>
      <c r="AF98" s="10"/>
      <c r="AG98" s="11">
        <v>100</v>
      </c>
    </row>
    <row r="99" spans="1:33" s="11" customFormat="1" x14ac:dyDescent="0.3">
      <c r="A99" s="7" t="s">
        <v>263</v>
      </c>
      <c r="B99" s="7" t="s">
        <v>70</v>
      </c>
      <c r="C99" s="7" t="s">
        <v>66</v>
      </c>
      <c r="D99" s="7">
        <v>2</v>
      </c>
      <c r="E99" s="21" t="s">
        <v>264</v>
      </c>
      <c r="F99" s="7">
        <v>708</v>
      </c>
      <c r="G99" s="7">
        <v>0.7</v>
      </c>
      <c r="H99" s="7" t="s">
        <v>68</v>
      </c>
      <c r="I99" s="7" t="s">
        <v>69</v>
      </c>
      <c r="J99" s="7" t="s">
        <v>73</v>
      </c>
      <c r="K99" s="7">
        <v>30</v>
      </c>
      <c r="L99" s="7" t="s">
        <v>73</v>
      </c>
      <c r="M99" s="7" t="s">
        <v>73</v>
      </c>
      <c r="N99" s="7" t="s">
        <v>73</v>
      </c>
      <c r="O99" s="7">
        <v>100</v>
      </c>
      <c r="P99" s="7" t="s">
        <v>73</v>
      </c>
      <c r="Q99" s="10"/>
      <c r="R99" s="10"/>
      <c r="S99" s="10"/>
      <c r="T99" s="10"/>
      <c r="U99" s="10"/>
      <c r="V99" s="10"/>
      <c r="W99" s="10"/>
      <c r="X99" s="10"/>
      <c r="Y99" s="10"/>
      <c r="Z99" s="10"/>
      <c r="AA99" s="10"/>
      <c r="AB99" s="10"/>
      <c r="AC99" s="10"/>
      <c r="AD99" s="10"/>
      <c r="AE99" s="10"/>
      <c r="AF99" s="10"/>
      <c r="AG99" s="11">
        <v>100</v>
      </c>
    </row>
    <row r="100" spans="1:33" s="11" customFormat="1" ht="15" customHeight="1" x14ac:dyDescent="0.3">
      <c r="A100" s="6" t="s">
        <v>265</v>
      </c>
      <c r="B100" s="16" t="s">
        <v>78</v>
      </c>
      <c r="C100" s="10" t="s">
        <v>66</v>
      </c>
      <c r="D100" s="10">
        <v>2</v>
      </c>
      <c r="E100" s="17" t="s">
        <v>266</v>
      </c>
      <c r="F100" s="16">
        <v>4</v>
      </c>
      <c r="G100" s="18">
        <v>1</v>
      </c>
      <c r="H100" s="18" t="s">
        <v>68</v>
      </c>
      <c r="I100" s="18" t="s">
        <v>80</v>
      </c>
      <c r="J100" s="19">
        <v>3</v>
      </c>
      <c r="K100" s="10">
        <v>60</v>
      </c>
      <c r="L100" s="19">
        <v>1.8</v>
      </c>
      <c r="M100" s="19">
        <v>3</v>
      </c>
      <c r="N100" s="20">
        <v>1.3</v>
      </c>
      <c r="O100" s="10">
        <v>100</v>
      </c>
      <c r="P100" s="20">
        <v>1.3</v>
      </c>
      <c r="Q100" s="20">
        <v>0</v>
      </c>
      <c r="R100" s="19">
        <v>100</v>
      </c>
      <c r="S100" s="20">
        <v>0</v>
      </c>
      <c r="T100" s="10">
        <v>0</v>
      </c>
      <c r="U100" s="19">
        <v>100</v>
      </c>
      <c r="V100" s="20">
        <v>0</v>
      </c>
      <c r="W100" s="20">
        <v>0</v>
      </c>
      <c r="X100" s="19">
        <v>100</v>
      </c>
      <c r="Y100" s="20">
        <v>0</v>
      </c>
      <c r="Z100" s="20">
        <v>0</v>
      </c>
      <c r="AA100" s="19">
        <v>100</v>
      </c>
      <c r="AB100" s="20">
        <v>0</v>
      </c>
      <c r="AC100" s="20">
        <v>0</v>
      </c>
      <c r="AD100" s="19">
        <v>100</v>
      </c>
      <c r="AE100" s="20">
        <v>0</v>
      </c>
      <c r="AF100" s="10"/>
      <c r="AG100" s="11">
        <v>100</v>
      </c>
    </row>
    <row r="101" spans="1:33" s="11" customFormat="1" x14ac:dyDescent="0.3">
      <c r="A101" s="7" t="s">
        <v>267</v>
      </c>
      <c r="B101" s="7" t="s">
        <v>70</v>
      </c>
      <c r="C101" s="7" t="s">
        <v>66</v>
      </c>
      <c r="D101" s="7">
        <v>2</v>
      </c>
      <c r="E101" s="21" t="s">
        <v>268</v>
      </c>
      <c r="F101" s="7">
        <v>706</v>
      </c>
      <c r="G101" s="7">
        <v>0.7</v>
      </c>
      <c r="H101" s="7" t="s">
        <v>68</v>
      </c>
      <c r="I101" s="7" t="s">
        <v>69</v>
      </c>
      <c r="J101" s="7" t="s">
        <v>73</v>
      </c>
      <c r="K101" s="7">
        <v>30</v>
      </c>
      <c r="L101" s="7" t="s">
        <v>73</v>
      </c>
      <c r="M101" s="7" t="s">
        <v>73</v>
      </c>
      <c r="N101" s="7" t="s">
        <v>73</v>
      </c>
      <c r="O101" s="7">
        <v>100</v>
      </c>
      <c r="P101" s="7" t="s">
        <v>73</v>
      </c>
      <c r="Q101" s="10"/>
      <c r="R101" s="10"/>
      <c r="S101" s="10"/>
      <c r="T101" s="10"/>
      <c r="U101" s="10"/>
      <c r="V101" s="10"/>
      <c r="W101" s="10"/>
      <c r="X101" s="10"/>
      <c r="Y101" s="10"/>
      <c r="Z101" s="10"/>
      <c r="AA101" s="10"/>
      <c r="AB101" s="10"/>
      <c r="AC101" s="10"/>
      <c r="AD101" s="10"/>
      <c r="AE101" s="10"/>
      <c r="AF101" s="10"/>
      <c r="AG101" s="11">
        <v>100</v>
      </c>
    </row>
    <row r="102" spans="1:33" s="11" customFormat="1" x14ac:dyDescent="0.3">
      <c r="A102" s="7" t="s">
        <v>269</v>
      </c>
      <c r="B102" s="7" t="s">
        <v>84</v>
      </c>
      <c r="C102" s="7" t="s">
        <v>66</v>
      </c>
      <c r="D102" s="7">
        <v>2</v>
      </c>
      <c r="E102" s="21" t="s">
        <v>270</v>
      </c>
      <c r="F102" s="7">
        <v>705</v>
      </c>
      <c r="G102" s="7">
        <v>1</v>
      </c>
      <c r="H102" s="7" t="s">
        <v>68</v>
      </c>
      <c r="I102" s="7" t="s">
        <v>80</v>
      </c>
      <c r="J102" s="7" t="s">
        <v>73</v>
      </c>
      <c r="K102" s="7">
        <v>60</v>
      </c>
      <c r="L102" s="7" t="s">
        <v>73</v>
      </c>
      <c r="M102" s="7" t="s">
        <v>73</v>
      </c>
      <c r="N102" s="7" t="s">
        <v>73</v>
      </c>
      <c r="O102" s="7">
        <v>100</v>
      </c>
      <c r="P102" s="7" t="s">
        <v>73</v>
      </c>
      <c r="Q102" s="10"/>
      <c r="R102" s="10"/>
      <c r="S102" s="10"/>
      <c r="T102" s="10"/>
      <c r="U102" s="10"/>
      <c r="V102" s="10"/>
      <c r="W102" s="10"/>
      <c r="X102" s="10"/>
      <c r="Y102" s="10"/>
      <c r="Z102" s="10"/>
      <c r="AA102" s="10"/>
      <c r="AB102" s="10"/>
      <c r="AC102" s="10"/>
      <c r="AD102" s="10"/>
      <c r="AE102" s="10"/>
      <c r="AF102" s="10"/>
      <c r="AG102" s="11">
        <v>100</v>
      </c>
    </row>
    <row r="103" spans="1:33" s="11" customFormat="1" ht="15" customHeight="1" x14ac:dyDescent="0.3">
      <c r="A103" s="6" t="s">
        <v>271</v>
      </c>
      <c r="B103" s="16" t="s">
        <v>186</v>
      </c>
      <c r="C103" s="10" t="s">
        <v>66</v>
      </c>
      <c r="D103" s="10">
        <v>2</v>
      </c>
      <c r="E103" s="17" t="s">
        <v>272</v>
      </c>
      <c r="F103" s="16">
        <v>29</v>
      </c>
      <c r="G103" s="18">
        <v>1</v>
      </c>
      <c r="H103" s="18" t="s">
        <v>68</v>
      </c>
      <c r="I103" s="18" t="s">
        <v>80</v>
      </c>
      <c r="J103" s="19">
        <v>2</v>
      </c>
      <c r="K103" s="10">
        <v>60</v>
      </c>
      <c r="L103" s="19">
        <v>1.2</v>
      </c>
      <c r="M103" s="19">
        <v>2</v>
      </c>
      <c r="N103" s="20">
        <v>0.2</v>
      </c>
      <c r="O103" s="10">
        <v>100</v>
      </c>
      <c r="P103" s="20">
        <v>0.2</v>
      </c>
      <c r="Q103" s="20">
        <v>0</v>
      </c>
      <c r="R103" s="19">
        <v>100</v>
      </c>
      <c r="S103" s="20">
        <v>0</v>
      </c>
      <c r="T103" s="10">
        <v>0</v>
      </c>
      <c r="U103" s="19">
        <v>100</v>
      </c>
      <c r="V103" s="20">
        <v>0</v>
      </c>
      <c r="W103" s="20">
        <v>0</v>
      </c>
      <c r="X103" s="19">
        <v>100</v>
      </c>
      <c r="Y103" s="20">
        <v>0</v>
      </c>
      <c r="Z103" s="20">
        <v>0</v>
      </c>
      <c r="AA103" s="19">
        <v>100</v>
      </c>
      <c r="AB103" s="20">
        <v>0</v>
      </c>
      <c r="AC103" s="20">
        <v>0</v>
      </c>
      <c r="AD103" s="19">
        <v>100</v>
      </c>
      <c r="AE103" s="20">
        <v>0</v>
      </c>
      <c r="AF103" s="10"/>
      <c r="AG103" s="11">
        <v>100</v>
      </c>
    </row>
    <row r="104" spans="1:33" s="11" customFormat="1" x14ac:dyDescent="0.3">
      <c r="A104" s="7" t="s">
        <v>271</v>
      </c>
      <c r="B104" s="7" t="s">
        <v>167</v>
      </c>
      <c r="C104" s="7" t="s">
        <v>66</v>
      </c>
      <c r="D104" s="7">
        <v>2</v>
      </c>
      <c r="E104" s="21" t="s">
        <v>273</v>
      </c>
      <c r="F104" s="7">
        <v>644</v>
      </c>
      <c r="G104" s="7">
        <v>1</v>
      </c>
      <c r="H104" s="7" t="s">
        <v>68</v>
      </c>
      <c r="I104" s="7" t="s">
        <v>80</v>
      </c>
      <c r="J104" s="7" t="s">
        <v>73</v>
      </c>
      <c r="K104" s="7">
        <v>60</v>
      </c>
      <c r="L104" s="7" t="s">
        <v>73</v>
      </c>
      <c r="M104" s="7" t="s">
        <v>73</v>
      </c>
      <c r="N104" s="7" t="s">
        <v>73</v>
      </c>
      <c r="O104" s="7">
        <v>100</v>
      </c>
      <c r="P104" s="7" t="s">
        <v>73</v>
      </c>
      <c r="Q104" s="10"/>
      <c r="R104" s="10"/>
      <c r="S104" s="10"/>
      <c r="T104" s="10"/>
      <c r="U104" s="10"/>
      <c r="V104" s="10"/>
      <c r="W104" s="10"/>
      <c r="X104" s="10"/>
      <c r="Y104" s="10"/>
      <c r="Z104" s="10"/>
      <c r="AA104" s="10"/>
      <c r="AB104" s="10"/>
      <c r="AC104" s="10"/>
      <c r="AD104" s="10"/>
      <c r="AE104" s="10"/>
      <c r="AF104" s="10"/>
      <c r="AG104" s="11">
        <v>100</v>
      </c>
    </row>
    <row r="105" spans="1:33" s="11" customFormat="1" ht="15" customHeight="1" x14ac:dyDescent="0.3">
      <c r="A105" s="6" t="s">
        <v>271</v>
      </c>
      <c r="B105" s="16" t="s">
        <v>65</v>
      </c>
      <c r="C105" s="10" t="s">
        <v>66</v>
      </c>
      <c r="D105" s="10">
        <v>1</v>
      </c>
      <c r="E105" s="17" t="s">
        <v>274</v>
      </c>
      <c r="F105" s="16">
        <v>28</v>
      </c>
      <c r="G105" s="18">
        <v>0.6</v>
      </c>
      <c r="H105" s="18" t="s">
        <v>68</v>
      </c>
      <c r="I105" s="18" t="s">
        <v>69</v>
      </c>
      <c r="J105" s="19">
        <v>14.1</v>
      </c>
      <c r="K105" s="10">
        <v>30</v>
      </c>
      <c r="L105" s="19">
        <v>4.2300000000000004</v>
      </c>
      <c r="M105" s="19">
        <v>14.1</v>
      </c>
      <c r="N105" s="20">
        <v>25.3</v>
      </c>
      <c r="O105" s="10">
        <v>100</v>
      </c>
      <c r="P105" s="20">
        <v>25.3</v>
      </c>
      <c r="Q105" s="20">
        <v>0</v>
      </c>
      <c r="R105" s="19">
        <v>100</v>
      </c>
      <c r="S105" s="20">
        <v>0</v>
      </c>
      <c r="T105" s="10">
        <v>0</v>
      </c>
      <c r="U105" s="19">
        <v>100</v>
      </c>
      <c r="V105" s="20">
        <v>0</v>
      </c>
      <c r="W105" s="20">
        <v>0</v>
      </c>
      <c r="X105" s="19">
        <v>100</v>
      </c>
      <c r="Y105" s="20">
        <v>0</v>
      </c>
      <c r="Z105" s="20">
        <v>0</v>
      </c>
      <c r="AA105" s="19">
        <v>100</v>
      </c>
      <c r="AB105" s="20">
        <v>0</v>
      </c>
      <c r="AC105" s="20">
        <v>0</v>
      </c>
      <c r="AD105" s="19">
        <v>100</v>
      </c>
      <c r="AE105" s="20">
        <v>0</v>
      </c>
      <c r="AF105" s="10"/>
      <c r="AG105" s="11">
        <v>100</v>
      </c>
    </row>
    <row r="106" spans="1:33" s="11" customFormat="1" ht="15" customHeight="1" x14ac:dyDescent="0.3">
      <c r="A106" s="6" t="s">
        <v>275</v>
      </c>
      <c r="B106" s="16" t="s">
        <v>208</v>
      </c>
      <c r="C106" s="10" t="s">
        <v>66</v>
      </c>
      <c r="D106" s="10">
        <v>2</v>
      </c>
      <c r="E106" s="17" t="s">
        <v>276</v>
      </c>
      <c r="F106" s="16">
        <v>696</v>
      </c>
      <c r="G106" s="18">
        <v>0.8</v>
      </c>
      <c r="H106" s="18" t="s">
        <v>68</v>
      </c>
      <c r="I106" s="18" t="s">
        <v>69</v>
      </c>
      <c r="J106" s="19">
        <v>23.6</v>
      </c>
      <c r="K106" s="10">
        <v>30</v>
      </c>
      <c r="L106" s="19">
        <v>7.08</v>
      </c>
      <c r="M106" s="19">
        <v>23.6</v>
      </c>
      <c r="N106" s="20">
        <v>14.6</v>
      </c>
      <c r="O106" s="10">
        <v>100</v>
      </c>
      <c r="P106" s="20">
        <v>14.6</v>
      </c>
      <c r="Q106" s="20">
        <v>0</v>
      </c>
      <c r="R106" s="19">
        <v>100</v>
      </c>
      <c r="S106" s="20">
        <v>0</v>
      </c>
      <c r="T106" s="10">
        <v>0</v>
      </c>
      <c r="U106" s="19">
        <v>100</v>
      </c>
      <c r="V106" s="20">
        <v>0</v>
      </c>
      <c r="W106" s="20">
        <v>0</v>
      </c>
      <c r="X106" s="19">
        <v>100</v>
      </c>
      <c r="Y106" s="20">
        <v>0</v>
      </c>
      <c r="Z106" s="20">
        <v>0</v>
      </c>
      <c r="AA106" s="19">
        <v>100</v>
      </c>
      <c r="AB106" s="20">
        <v>0</v>
      </c>
      <c r="AC106" s="20">
        <v>0</v>
      </c>
      <c r="AD106" s="19">
        <v>100</v>
      </c>
      <c r="AE106" s="20">
        <v>0</v>
      </c>
      <c r="AF106" s="10"/>
      <c r="AG106" s="11">
        <v>100</v>
      </c>
    </row>
    <row r="107" spans="1:33" s="11" customFormat="1" ht="15" customHeight="1" x14ac:dyDescent="0.3">
      <c r="A107" s="6" t="s">
        <v>277</v>
      </c>
      <c r="B107" s="16" t="s">
        <v>65</v>
      </c>
      <c r="C107" s="10" t="s">
        <v>66</v>
      </c>
      <c r="D107" s="10">
        <v>2</v>
      </c>
      <c r="E107" s="17" t="s">
        <v>278</v>
      </c>
      <c r="F107" s="16">
        <v>697</v>
      </c>
      <c r="G107" s="18">
        <v>0.5</v>
      </c>
      <c r="H107" s="18" t="s">
        <v>68</v>
      </c>
      <c r="I107" s="18" t="s">
        <v>69</v>
      </c>
      <c r="J107" s="19">
        <v>25</v>
      </c>
      <c r="K107" s="10">
        <v>30</v>
      </c>
      <c r="L107" s="19">
        <v>7.5</v>
      </c>
      <c r="M107" s="19">
        <v>25</v>
      </c>
      <c r="N107" s="20">
        <v>24.4</v>
      </c>
      <c r="O107" s="10">
        <v>100</v>
      </c>
      <c r="P107" s="20">
        <v>24.4</v>
      </c>
      <c r="Q107" s="20">
        <v>0</v>
      </c>
      <c r="R107" s="19">
        <v>100</v>
      </c>
      <c r="S107" s="20">
        <v>0</v>
      </c>
      <c r="T107" s="10">
        <v>0</v>
      </c>
      <c r="U107" s="19">
        <v>100</v>
      </c>
      <c r="V107" s="20">
        <v>0</v>
      </c>
      <c r="W107" s="20">
        <v>0</v>
      </c>
      <c r="X107" s="19">
        <v>100</v>
      </c>
      <c r="Y107" s="20">
        <v>0</v>
      </c>
      <c r="Z107" s="20">
        <v>0</v>
      </c>
      <c r="AA107" s="19">
        <v>100</v>
      </c>
      <c r="AB107" s="20">
        <v>0</v>
      </c>
      <c r="AC107" s="20">
        <v>0</v>
      </c>
      <c r="AD107" s="19">
        <v>100</v>
      </c>
      <c r="AE107" s="20">
        <v>0</v>
      </c>
      <c r="AF107" s="10"/>
      <c r="AG107" s="11">
        <v>100</v>
      </c>
    </row>
    <row r="108" spans="1:33" s="11" customFormat="1" ht="15" customHeight="1" x14ac:dyDescent="0.3">
      <c r="A108" s="6" t="s">
        <v>279</v>
      </c>
      <c r="B108" s="16" t="s">
        <v>65</v>
      </c>
      <c r="C108" s="10" t="s">
        <v>66</v>
      </c>
      <c r="D108" s="10">
        <v>2</v>
      </c>
      <c r="E108" s="17" t="s">
        <v>280</v>
      </c>
      <c r="F108" s="16">
        <v>698</v>
      </c>
      <c r="G108" s="18">
        <v>0.5</v>
      </c>
      <c r="H108" s="18" t="s">
        <v>68</v>
      </c>
      <c r="I108" s="18" t="s">
        <v>69</v>
      </c>
      <c r="J108" s="19">
        <v>19.8</v>
      </c>
      <c r="K108" s="10">
        <v>30</v>
      </c>
      <c r="L108" s="19">
        <v>5.94</v>
      </c>
      <c r="M108" s="19">
        <v>19.8</v>
      </c>
      <c r="N108" s="20">
        <v>26.2</v>
      </c>
      <c r="O108" s="10">
        <v>100</v>
      </c>
      <c r="P108" s="20">
        <v>26.2</v>
      </c>
      <c r="Q108" s="20">
        <v>0</v>
      </c>
      <c r="R108" s="19">
        <v>100</v>
      </c>
      <c r="S108" s="20">
        <v>0</v>
      </c>
      <c r="T108" s="10">
        <v>0</v>
      </c>
      <c r="U108" s="19">
        <v>100</v>
      </c>
      <c r="V108" s="20">
        <v>0</v>
      </c>
      <c r="W108" s="20">
        <v>0</v>
      </c>
      <c r="X108" s="19">
        <v>100</v>
      </c>
      <c r="Y108" s="20">
        <v>0</v>
      </c>
      <c r="Z108" s="20">
        <v>0</v>
      </c>
      <c r="AA108" s="19">
        <v>100</v>
      </c>
      <c r="AB108" s="20">
        <v>0</v>
      </c>
      <c r="AC108" s="20">
        <v>0</v>
      </c>
      <c r="AD108" s="19">
        <v>100</v>
      </c>
      <c r="AE108" s="20">
        <v>0</v>
      </c>
      <c r="AF108" s="10"/>
      <c r="AG108" s="11">
        <v>100</v>
      </c>
    </row>
    <row r="109" spans="1:33" s="11" customFormat="1" ht="15" customHeight="1" x14ac:dyDescent="0.3">
      <c r="A109" s="6" t="s">
        <v>281</v>
      </c>
      <c r="B109" s="10" t="s">
        <v>78</v>
      </c>
      <c r="C109" s="10" t="s">
        <v>66</v>
      </c>
      <c r="D109" s="10">
        <v>2</v>
      </c>
      <c r="E109" s="22" t="s">
        <v>282</v>
      </c>
      <c r="F109" s="18">
        <v>19</v>
      </c>
      <c r="G109" s="27">
        <v>1</v>
      </c>
      <c r="H109" s="18" t="s">
        <v>68</v>
      </c>
      <c r="I109" s="18" t="s">
        <v>80</v>
      </c>
      <c r="J109" s="19">
        <v>9</v>
      </c>
      <c r="K109" s="18">
        <v>60</v>
      </c>
      <c r="L109" s="19">
        <v>5.4</v>
      </c>
      <c r="M109" s="19">
        <v>9</v>
      </c>
      <c r="N109" s="20">
        <v>8.3000000000000007</v>
      </c>
      <c r="O109" s="10">
        <v>100</v>
      </c>
      <c r="P109" s="20">
        <v>8.3000000000000007</v>
      </c>
      <c r="Q109" s="20">
        <v>0</v>
      </c>
      <c r="R109" s="19">
        <v>100</v>
      </c>
      <c r="S109" s="20">
        <v>0</v>
      </c>
      <c r="T109" s="10">
        <v>0</v>
      </c>
      <c r="U109" s="19">
        <v>100</v>
      </c>
      <c r="V109" s="20">
        <v>0</v>
      </c>
      <c r="W109" s="20">
        <v>0</v>
      </c>
      <c r="X109" s="19">
        <v>100</v>
      </c>
      <c r="Y109" s="20">
        <v>0</v>
      </c>
      <c r="Z109" s="20">
        <v>0</v>
      </c>
      <c r="AA109" s="19">
        <v>100</v>
      </c>
      <c r="AB109" s="20">
        <v>0</v>
      </c>
      <c r="AC109" s="20">
        <v>0</v>
      </c>
      <c r="AD109" s="19">
        <v>100</v>
      </c>
      <c r="AE109" s="20">
        <v>0</v>
      </c>
      <c r="AF109" s="10"/>
      <c r="AG109" s="11">
        <v>100</v>
      </c>
    </row>
    <row r="110" spans="1:33" s="11" customFormat="1" ht="15" customHeight="1" x14ac:dyDescent="0.3">
      <c r="A110" s="6" t="s">
        <v>283</v>
      </c>
      <c r="B110" s="16" t="s">
        <v>186</v>
      </c>
      <c r="C110" s="10" t="s">
        <v>66</v>
      </c>
      <c r="D110" s="10">
        <v>2</v>
      </c>
      <c r="E110" s="17" t="s">
        <v>284</v>
      </c>
      <c r="F110" s="16">
        <v>25</v>
      </c>
      <c r="G110" s="18">
        <v>1</v>
      </c>
      <c r="H110" s="18" t="s">
        <v>68</v>
      </c>
      <c r="I110" s="18" t="s">
        <v>80</v>
      </c>
      <c r="J110" s="19">
        <v>4</v>
      </c>
      <c r="K110" s="10">
        <v>60</v>
      </c>
      <c r="L110" s="19">
        <v>2.4</v>
      </c>
      <c r="M110" s="19">
        <v>4</v>
      </c>
      <c r="N110" s="20">
        <v>0.2</v>
      </c>
      <c r="O110" s="10">
        <v>100</v>
      </c>
      <c r="P110" s="20">
        <v>0.2</v>
      </c>
      <c r="Q110" s="20">
        <v>0</v>
      </c>
      <c r="R110" s="19">
        <v>100</v>
      </c>
      <c r="S110" s="20">
        <v>0</v>
      </c>
      <c r="T110" s="10">
        <v>0</v>
      </c>
      <c r="U110" s="19">
        <v>100</v>
      </c>
      <c r="V110" s="20">
        <v>0</v>
      </c>
      <c r="W110" s="20">
        <v>0</v>
      </c>
      <c r="X110" s="19">
        <v>100</v>
      </c>
      <c r="Y110" s="20">
        <v>0</v>
      </c>
      <c r="Z110" s="20">
        <v>0</v>
      </c>
      <c r="AA110" s="19">
        <v>100</v>
      </c>
      <c r="AB110" s="20">
        <v>0</v>
      </c>
      <c r="AC110" s="20">
        <v>0</v>
      </c>
      <c r="AD110" s="19">
        <v>100</v>
      </c>
      <c r="AE110" s="20">
        <v>0</v>
      </c>
      <c r="AF110" s="10"/>
      <c r="AG110" s="11">
        <v>100</v>
      </c>
    </row>
    <row r="111" spans="1:33" s="11" customFormat="1" ht="15" customHeight="1" x14ac:dyDescent="0.3">
      <c r="A111" s="6" t="s">
        <v>283</v>
      </c>
      <c r="B111" s="16" t="s">
        <v>65</v>
      </c>
      <c r="C111" s="10" t="s">
        <v>66</v>
      </c>
      <c r="D111" s="10">
        <v>1</v>
      </c>
      <c r="E111" s="17" t="s">
        <v>285</v>
      </c>
      <c r="F111" s="16">
        <v>26</v>
      </c>
      <c r="G111" s="18">
        <v>0.7</v>
      </c>
      <c r="H111" s="18" t="s">
        <v>68</v>
      </c>
      <c r="I111" s="18" t="s">
        <v>69</v>
      </c>
      <c r="J111" s="19">
        <v>5</v>
      </c>
      <c r="K111" s="10">
        <v>30</v>
      </c>
      <c r="L111" s="19">
        <v>1.5</v>
      </c>
      <c r="M111" s="19">
        <v>5</v>
      </c>
      <c r="N111" s="20">
        <v>3</v>
      </c>
      <c r="O111" s="10">
        <v>100</v>
      </c>
      <c r="P111" s="20">
        <v>3</v>
      </c>
      <c r="Q111" s="20">
        <v>0</v>
      </c>
      <c r="R111" s="19">
        <v>100</v>
      </c>
      <c r="S111" s="20">
        <v>0</v>
      </c>
      <c r="T111" s="10">
        <v>0</v>
      </c>
      <c r="U111" s="19">
        <v>100</v>
      </c>
      <c r="V111" s="20">
        <v>0</v>
      </c>
      <c r="W111" s="20">
        <v>0</v>
      </c>
      <c r="X111" s="19">
        <v>100</v>
      </c>
      <c r="Y111" s="20">
        <v>0</v>
      </c>
      <c r="Z111" s="20">
        <v>0</v>
      </c>
      <c r="AA111" s="19">
        <v>100</v>
      </c>
      <c r="AB111" s="20">
        <v>0</v>
      </c>
      <c r="AC111" s="20">
        <v>0</v>
      </c>
      <c r="AD111" s="19">
        <v>100</v>
      </c>
      <c r="AE111" s="20">
        <v>0</v>
      </c>
      <c r="AF111" s="10"/>
      <c r="AG111" s="11">
        <v>100</v>
      </c>
    </row>
    <row r="112" spans="1:33" s="11" customFormat="1" x14ac:dyDescent="0.3">
      <c r="A112" s="7" t="s">
        <v>286</v>
      </c>
      <c r="B112" s="7" t="s">
        <v>70</v>
      </c>
      <c r="C112" s="7" t="s">
        <v>66</v>
      </c>
      <c r="D112" s="7">
        <v>2</v>
      </c>
      <c r="E112" s="21" t="s">
        <v>287</v>
      </c>
      <c r="F112" s="7">
        <v>466</v>
      </c>
      <c r="G112" s="7">
        <v>0.7</v>
      </c>
      <c r="H112" s="7" t="s">
        <v>68</v>
      </c>
      <c r="I112" s="7" t="s">
        <v>69</v>
      </c>
      <c r="J112" s="7" t="s">
        <v>73</v>
      </c>
      <c r="K112" s="7">
        <v>30</v>
      </c>
      <c r="L112" s="7" t="s">
        <v>73</v>
      </c>
      <c r="M112" s="7" t="s">
        <v>73</v>
      </c>
      <c r="N112" s="7" t="s">
        <v>73</v>
      </c>
      <c r="O112" s="7">
        <v>100</v>
      </c>
      <c r="P112" s="7" t="s">
        <v>73</v>
      </c>
      <c r="Q112" s="10"/>
      <c r="R112" s="10"/>
      <c r="S112" s="10"/>
      <c r="T112" s="10"/>
      <c r="U112" s="10"/>
      <c r="V112" s="10"/>
      <c r="W112" s="10"/>
      <c r="X112" s="10"/>
      <c r="Y112" s="10"/>
      <c r="Z112" s="10"/>
      <c r="AA112" s="10"/>
      <c r="AB112" s="10"/>
      <c r="AC112" s="10"/>
      <c r="AD112" s="10"/>
      <c r="AE112" s="10"/>
      <c r="AF112" s="10"/>
      <c r="AG112" s="11">
        <v>100</v>
      </c>
    </row>
    <row r="113" spans="1:36" s="11" customFormat="1" ht="15" customHeight="1" x14ac:dyDescent="0.3">
      <c r="A113" s="6" t="s">
        <v>288</v>
      </c>
      <c r="B113" s="16" t="s">
        <v>186</v>
      </c>
      <c r="C113" s="10" t="s">
        <v>66</v>
      </c>
      <c r="D113" s="10">
        <v>2</v>
      </c>
      <c r="E113" s="17" t="s">
        <v>289</v>
      </c>
      <c r="F113" s="16">
        <v>1</v>
      </c>
      <c r="G113" s="18">
        <v>1</v>
      </c>
      <c r="H113" s="18" t="s">
        <v>68</v>
      </c>
      <c r="I113" s="18" t="s">
        <v>80</v>
      </c>
      <c r="J113" s="19">
        <v>4</v>
      </c>
      <c r="K113" s="10">
        <v>60</v>
      </c>
      <c r="L113" s="19">
        <v>2.4</v>
      </c>
      <c r="M113" s="19">
        <v>4</v>
      </c>
      <c r="N113" s="20">
        <v>0.2</v>
      </c>
      <c r="O113" s="10">
        <v>100</v>
      </c>
      <c r="P113" s="20">
        <v>0.2</v>
      </c>
      <c r="Q113" s="20">
        <v>0</v>
      </c>
      <c r="R113" s="19">
        <v>100</v>
      </c>
      <c r="S113" s="20">
        <v>0</v>
      </c>
      <c r="T113" s="10">
        <v>0</v>
      </c>
      <c r="U113" s="19">
        <v>100</v>
      </c>
      <c r="V113" s="20">
        <v>0</v>
      </c>
      <c r="W113" s="20">
        <v>0</v>
      </c>
      <c r="X113" s="19">
        <v>100</v>
      </c>
      <c r="Y113" s="20">
        <v>0</v>
      </c>
      <c r="Z113" s="20">
        <v>0</v>
      </c>
      <c r="AA113" s="19">
        <v>100</v>
      </c>
      <c r="AB113" s="20">
        <v>0</v>
      </c>
      <c r="AC113" s="20">
        <v>0</v>
      </c>
      <c r="AD113" s="19">
        <v>100</v>
      </c>
      <c r="AE113" s="20">
        <v>0</v>
      </c>
      <c r="AF113" s="10"/>
      <c r="AG113" s="11">
        <v>100</v>
      </c>
    </row>
    <row r="114" spans="1:36" s="11" customFormat="1" ht="15" customHeight="1" x14ac:dyDescent="0.3">
      <c r="A114" s="6" t="s">
        <v>288</v>
      </c>
      <c r="B114" s="16" t="s">
        <v>78</v>
      </c>
      <c r="C114" s="10" t="s">
        <v>66</v>
      </c>
      <c r="D114" s="10">
        <v>2</v>
      </c>
      <c r="E114" s="17" t="s">
        <v>290</v>
      </c>
      <c r="F114" s="16">
        <v>2</v>
      </c>
      <c r="G114" s="18">
        <v>1</v>
      </c>
      <c r="H114" s="18" t="s">
        <v>68</v>
      </c>
      <c r="I114" s="18" t="s">
        <v>80</v>
      </c>
      <c r="J114" s="19">
        <v>4.8</v>
      </c>
      <c r="K114" s="10">
        <v>60</v>
      </c>
      <c r="L114" s="19">
        <v>2.88</v>
      </c>
      <c r="M114" s="19">
        <v>4.8</v>
      </c>
      <c r="N114" s="20">
        <v>1.4</v>
      </c>
      <c r="O114" s="10">
        <v>100</v>
      </c>
      <c r="P114" s="20">
        <v>1.4</v>
      </c>
      <c r="Q114" s="20">
        <v>4.0999999999999996</v>
      </c>
      <c r="R114" s="19">
        <v>90</v>
      </c>
      <c r="S114" s="20">
        <v>3.6899999999999995</v>
      </c>
      <c r="T114" s="10">
        <v>1</v>
      </c>
      <c r="U114" s="19">
        <v>90</v>
      </c>
      <c r="V114" s="20">
        <v>0.9</v>
      </c>
      <c r="W114" s="20">
        <v>1.5</v>
      </c>
      <c r="X114" s="19">
        <v>90</v>
      </c>
      <c r="Y114" s="20">
        <v>1.35</v>
      </c>
      <c r="Z114" s="20">
        <v>0.7</v>
      </c>
      <c r="AA114" s="19">
        <v>90</v>
      </c>
      <c r="AB114" s="20">
        <v>0.62999999999999989</v>
      </c>
      <c r="AC114" s="20">
        <v>0</v>
      </c>
      <c r="AD114" s="19">
        <v>100</v>
      </c>
      <c r="AE114" s="20">
        <v>0</v>
      </c>
      <c r="AF114" s="10">
        <v>15</v>
      </c>
      <c r="AG114" s="11">
        <v>60</v>
      </c>
      <c r="AH114" s="11">
        <v>20</v>
      </c>
      <c r="AI114" s="11">
        <v>10</v>
      </c>
      <c r="AJ114" s="11">
        <v>10</v>
      </c>
    </row>
    <row r="115" spans="1:36" s="11" customFormat="1" ht="15" customHeight="1" x14ac:dyDescent="0.3">
      <c r="A115" s="6" t="s">
        <v>288</v>
      </c>
      <c r="B115" s="16" t="s">
        <v>65</v>
      </c>
      <c r="C115" s="10" t="s">
        <v>66</v>
      </c>
      <c r="D115" s="10">
        <v>1</v>
      </c>
      <c r="E115" s="17" t="s">
        <v>291</v>
      </c>
      <c r="F115" s="16">
        <v>3</v>
      </c>
      <c r="G115" s="18">
        <v>0.8</v>
      </c>
      <c r="H115" s="18" t="s">
        <v>68</v>
      </c>
      <c r="I115" s="18" t="s">
        <v>69</v>
      </c>
      <c r="J115" s="19">
        <v>7.1</v>
      </c>
      <c r="K115" s="10">
        <v>30</v>
      </c>
      <c r="L115" s="19">
        <v>2.13</v>
      </c>
      <c r="M115" s="19">
        <v>7.1</v>
      </c>
      <c r="N115" s="20">
        <v>2.9</v>
      </c>
      <c r="O115" s="10">
        <v>100</v>
      </c>
      <c r="P115" s="20">
        <v>2.9</v>
      </c>
      <c r="Q115" s="20">
        <v>7.7</v>
      </c>
      <c r="R115" s="19">
        <v>60</v>
      </c>
      <c r="S115" s="20">
        <v>4.62</v>
      </c>
      <c r="T115" s="10" t="s">
        <v>292</v>
      </c>
      <c r="U115" s="19">
        <v>60</v>
      </c>
      <c r="V115" s="20">
        <v>1.02</v>
      </c>
      <c r="W115" s="20">
        <v>4.0999999999999996</v>
      </c>
      <c r="X115" s="19">
        <v>90</v>
      </c>
      <c r="Y115" s="20">
        <v>3.6899999999999995</v>
      </c>
      <c r="Z115" s="20">
        <v>0.9</v>
      </c>
      <c r="AA115" s="19">
        <v>60</v>
      </c>
      <c r="AB115" s="20">
        <v>0.54</v>
      </c>
      <c r="AC115" s="20">
        <v>0</v>
      </c>
      <c r="AD115" s="19">
        <v>100</v>
      </c>
      <c r="AE115" s="20">
        <v>0</v>
      </c>
      <c r="AF115" s="10">
        <v>49</v>
      </c>
      <c r="AG115" s="73">
        <f>(25/35)*100</f>
        <v>71.428571428571431</v>
      </c>
      <c r="AH115" s="73">
        <f>(5/35)*100</f>
        <v>14.285714285714285</v>
      </c>
      <c r="AI115" s="73">
        <f>(5/35)*100</f>
        <v>14.285714285714285</v>
      </c>
    </row>
    <row r="116" spans="1:36" s="11" customFormat="1" x14ac:dyDescent="0.3">
      <c r="A116" s="7" t="s">
        <v>293</v>
      </c>
      <c r="B116" s="7" t="s">
        <v>84</v>
      </c>
      <c r="C116" s="7" t="s">
        <v>66</v>
      </c>
      <c r="D116" s="7">
        <v>2</v>
      </c>
      <c r="E116" s="21" t="s">
        <v>294</v>
      </c>
      <c r="F116" s="7">
        <v>675</v>
      </c>
      <c r="G116" s="7">
        <v>1</v>
      </c>
      <c r="H116" s="7" t="s">
        <v>68</v>
      </c>
      <c r="I116" s="7" t="s">
        <v>80</v>
      </c>
      <c r="J116" s="7" t="s">
        <v>73</v>
      </c>
      <c r="K116" s="7">
        <v>60</v>
      </c>
      <c r="L116" s="7" t="s">
        <v>73</v>
      </c>
      <c r="M116" s="7" t="s">
        <v>73</v>
      </c>
      <c r="N116" s="7" t="s">
        <v>73</v>
      </c>
      <c r="O116" s="7">
        <v>100</v>
      </c>
      <c r="P116" s="7" t="s">
        <v>73</v>
      </c>
      <c r="Q116" s="10"/>
      <c r="R116" s="10"/>
      <c r="S116" s="10"/>
      <c r="T116" s="10"/>
      <c r="U116" s="10"/>
      <c r="V116" s="10"/>
      <c r="W116" s="10"/>
      <c r="X116" s="10"/>
      <c r="Y116" s="10"/>
      <c r="Z116" s="10"/>
      <c r="AA116" s="10"/>
      <c r="AB116" s="10"/>
      <c r="AC116" s="10"/>
      <c r="AD116" s="10"/>
      <c r="AE116" s="10"/>
      <c r="AF116" s="10"/>
      <c r="AG116" s="11">
        <v>100</v>
      </c>
    </row>
    <row r="117" spans="1:36" s="11" customFormat="1" x14ac:dyDescent="0.3">
      <c r="A117" s="7" t="s">
        <v>295</v>
      </c>
      <c r="B117" s="7" t="s">
        <v>70</v>
      </c>
      <c r="C117" s="7" t="s">
        <v>66</v>
      </c>
      <c r="D117" s="7">
        <v>2</v>
      </c>
      <c r="E117" s="21" t="s">
        <v>296</v>
      </c>
      <c r="F117" s="7">
        <v>676</v>
      </c>
      <c r="G117" s="7">
        <v>0.7</v>
      </c>
      <c r="H117" s="7" t="s">
        <v>68</v>
      </c>
      <c r="I117" s="7" t="s">
        <v>69</v>
      </c>
      <c r="J117" s="7" t="s">
        <v>73</v>
      </c>
      <c r="K117" s="7">
        <v>30</v>
      </c>
      <c r="L117" s="7" t="s">
        <v>73</v>
      </c>
      <c r="M117" s="7" t="s">
        <v>73</v>
      </c>
      <c r="N117" s="7" t="s">
        <v>73</v>
      </c>
      <c r="O117" s="7">
        <v>100</v>
      </c>
      <c r="P117" s="7" t="s">
        <v>73</v>
      </c>
      <c r="Q117" s="10"/>
      <c r="R117" s="10"/>
      <c r="S117" s="10"/>
      <c r="T117" s="10"/>
      <c r="U117" s="10"/>
      <c r="V117" s="10"/>
      <c r="W117" s="10"/>
      <c r="X117" s="10"/>
      <c r="Y117" s="10"/>
      <c r="Z117" s="10"/>
      <c r="AA117" s="10"/>
      <c r="AB117" s="10"/>
      <c r="AC117" s="10"/>
      <c r="AD117" s="10"/>
      <c r="AE117" s="10"/>
      <c r="AF117" s="10"/>
      <c r="AG117" s="11">
        <v>100</v>
      </c>
    </row>
    <row r="118" spans="1:36" s="11" customFormat="1" x14ac:dyDescent="0.3">
      <c r="A118" s="7" t="s">
        <v>297</v>
      </c>
      <c r="B118" s="7" t="s">
        <v>84</v>
      </c>
      <c r="C118" s="7" t="s">
        <v>71</v>
      </c>
      <c r="D118" s="7">
        <v>2</v>
      </c>
      <c r="E118" s="21" t="s">
        <v>298</v>
      </c>
      <c r="F118" s="7">
        <v>1503</v>
      </c>
      <c r="G118" s="7">
        <v>1</v>
      </c>
      <c r="H118" s="7" t="s">
        <v>68</v>
      </c>
      <c r="I118" s="7" t="s">
        <v>80</v>
      </c>
      <c r="J118" s="7" t="s">
        <v>73</v>
      </c>
      <c r="K118" s="7">
        <v>60</v>
      </c>
      <c r="L118" s="7" t="s">
        <v>73</v>
      </c>
      <c r="M118" s="7" t="s">
        <v>73</v>
      </c>
      <c r="N118" s="7" t="s">
        <v>73</v>
      </c>
      <c r="O118" s="7">
        <v>100</v>
      </c>
      <c r="P118" s="7" t="s">
        <v>73</v>
      </c>
      <c r="Q118" s="10"/>
      <c r="R118" s="10"/>
      <c r="S118" s="10"/>
      <c r="T118" s="10"/>
      <c r="U118" s="10"/>
      <c r="V118" s="10"/>
      <c r="W118" s="10"/>
      <c r="X118" s="10"/>
      <c r="Y118" s="10"/>
      <c r="Z118" s="10"/>
      <c r="AA118" s="10"/>
      <c r="AB118" s="10"/>
      <c r="AC118" s="10"/>
      <c r="AD118" s="10"/>
      <c r="AE118" s="10"/>
      <c r="AF118" s="10"/>
      <c r="AG118" s="11">
        <v>100</v>
      </c>
    </row>
    <row r="119" spans="1:36" s="11" customFormat="1" x14ac:dyDescent="0.3">
      <c r="A119" s="7" t="s">
        <v>299</v>
      </c>
      <c r="B119" s="7" t="s">
        <v>84</v>
      </c>
      <c r="C119" s="7" t="s">
        <v>66</v>
      </c>
      <c r="D119" s="7">
        <v>2</v>
      </c>
      <c r="E119" s="21" t="s">
        <v>300</v>
      </c>
      <c r="F119" s="7">
        <v>1110</v>
      </c>
      <c r="G119" s="7">
        <v>1</v>
      </c>
      <c r="H119" s="7" t="s">
        <v>68</v>
      </c>
      <c r="I119" s="7" t="s">
        <v>80</v>
      </c>
      <c r="J119" s="7" t="s">
        <v>73</v>
      </c>
      <c r="K119" s="7">
        <v>60</v>
      </c>
      <c r="L119" s="7" t="s">
        <v>73</v>
      </c>
      <c r="M119" s="7" t="s">
        <v>73</v>
      </c>
      <c r="N119" s="7" t="s">
        <v>73</v>
      </c>
      <c r="O119" s="7">
        <v>100</v>
      </c>
      <c r="P119" s="7" t="s">
        <v>73</v>
      </c>
      <c r="Q119" s="10"/>
      <c r="R119" s="10"/>
      <c r="S119" s="10"/>
      <c r="T119" s="10"/>
      <c r="U119" s="10"/>
      <c r="V119" s="10"/>
      <c r="W119" s="10"/>
      <c r="X119" s="10"/>
      <c r="Y119" s="10"/>
      <c r="Z119" s="10"/>
      <c r="AA119" s="10"/>
      <c r="AB119" s="10"/>
      <c r="AC119" s="10"/>
      <c r="AD119" s="10"/>
      <c r="AE119" s="10"/>
      <c r="AF119" s="10"/>
      <c r="AG119" s="11">
        <v>100</v>
      </c>
    </row>
    <row r="120" spans="1:36" s="11" customFormat="1" ht="15" customHeight="1" x14ac:dyDescent="0.3">
      <c r="A120" s="6" t="s">
        <v>301</v>
      </c>
      <c r="B120" s="10" t="s">
        <v>186</v>
      </c>
      <c r="C120" s="10" t="s">
        <v>66</v>
      </c>
      <c r="D120" s="10">
        <v>2</v>
      </c>
      <c r="E120" s="22" t="s">
        <v>302</v>
      </c>
      <c r="F120" s="18">
        <v>500</v>
      </c>
      <c r="G120" s="28">
        <v>1</v>
      </c>
      <c r="H120" s="18" t="s">
        <v>68</v>
      </c>
      <c r="I120" s="18" t="s">
        <v>80</v>
      </c>
      <c r="J120" s="19">
        <v>4</v>
      </c>
      <c r="K120" s="10">
        <v>60</v>
      </c>
      <c r="L120" s="19">
        <v>2.4</v>
      </c>
      <c r="M120" s="19">
        <v>4</v>
      </c>
      <c r="N120" s="20">
        <v>0.2</v>
      </c>
      <c r="O120" s="10">
        <v>100</v>
      </c>
      <c r="P120" s="20">
        <v>0.2</v>
      </c>
      <c r="Q120" s="20">
        <v>0</v>
      </c>
      <c r="R120" s="19">
        <v>100</v>
      </c>
      <c r="S120" s="20">
        <v>0</v>
      </c>
      <c r="T120" s="10">
        <v>0</v>
      </c>
      <c r="U120" s="19">
        <v>100</v>
      </c>
      <c r="V120" s="20">
        <v>0</v>
      </c>
      <c r="W120" s="20">
        <v>0</v>
      </c>
      <c r="X120" s="19">
        <v>100</v>
      </c>
      <c r="Y120" s="20">
        <v>0</v>
      </c>
      <c r="Z120" s="20">
        <v>0</v>
      </c>
      <c r="AA120" s="19">
        <v>100</v>
      </c>
      <c r="AB120" s="20">
        <v>0</v>
      </c>
      <c r="AC120" s="20">
        <v>0</v>
      </c>
      <c r="AD120" s="19">
        <v>100</v>
      </c>
      <c r="AE120" s="20">
        <v>0</v>
      </c>
      <c r="AF120" s="10"/>
      <c r="AG120" s="11">
        <v>100</v>
      </c>
    </row>
    <row r="121" spans="1:36" s="11" customFormat="1" ht="15" customHeight="1" x14ac:dyDescent="0.3">
      <c r="A121" s="6" t="s">
        <v>301</v>
      </c>
      <c r="B121" s="16" t="s">
        <v>65</v>
      </c>
      <c r="C121" s="10" t="s">
        <v>66</v>
      </c>
      <c r="D121" s="10">
        <v>1</v>
      </c>
      <c r="E121" s="17" t="s">
        <v>303</v>
      </c>
      <c r="F121" s="16">
        <v>24</v>
      </c>
      <c r="G121" s="18">
        <v>0.8</v>
      </c>
      <c r="H121" s="18" t="s">
        <v>68</v>
      </c>
      <c r="I121" s="18" t="s">
        <v>69</v>
      </c>
      <c r="J121" s="19">
        <v>8.3000000000000007</v>
      </c>
      <c r="K121" s="10">
        <v>30</v>
      </c>
      <c r="L121" s="19">
        <v>2.4900000000000002</v>
      </c>
      <c r="M121" s="19">
        <v>8.3000000000000007</v>
      </c>
      <c r="N121" s="20">
        <v>3.5</v>
      </c>
      <c r="O121" s="10">
        <v>100</v>
      </c>
      <c r="P121" s="20">
        <v>3.5</v>
      </c>
      <c r="Q121" s="20">
        <v>0</v>
      </c>
      <c r="R121" s="19">
        <v>100</v>
      </c>
      <c r="S121" s="20">
        <v>0</v>
      </c>
      <c r="T121" s="10">
        <v>0</v>
      </c>
      <c r="U121" s="19">
        <v>100</v>
      </c>
      <c r="V121" s="20">
        <v>0</v>
      </c>
      <c r="W121" s="20">
        <v>0</v>
      </c>
      <c r="X121" s="19">
        <v>100</v>
      </c>
      <c r="Y121" s="20">
        <v>0</v>
      </c>
      <c r="Z121" s="20">
        <v>0</v>
      </c>
      <c r="AA121" s="19">
        <v>100</v>
      </c>
      <c r="AB121" s="20">
        <v>0</v>
      </c>
      <c r="AC121" s="20">
        <v>0</v>
      </c>
      <c r="AD121" s="19">
        <v>100</v>
      </c>
      <c r="AE121" s="20">
        <v>0</v>
      </c>
      <c r="AF121" s="10"/>
      <c r="AG121" s="11">
        <v>100</v>
      </c>
    </row>
    <row r="122" spans="1:36" s="11" customFormat="1" ht="15" customHeight="1" x14ac:dyDescent="0.3">
      <c r="A122" s="6" t="s">
        <v>304</v>
      </c>
      <c r="B122" s="10" t="s">
        <v>143</v>
      </c>
      <c r="C122" s="7" t="s">
        <v>71</v>
      </c>
      <c r="D122" s="10">
        <v>2</v>
      </c>
      <c r="E122" s="17" t="s">
        <v>305</v>
      </c>
      <c r="F122" s="10">
        <v>41</v>
      </c>
      <c r="G122" s="18">
        <v>0.89</v>
      </c>
      <c r="H122" s="18" t="s">
        <v>68</v>
      </c>
      <c r="I122" s="18" t="s">
        <v>69</v>
      </c>
      <c r="J122" s="19">
        <v>4.5</v>
      </c>
      <c r="K122" s="10">
        <v>60</v>
      </c>
      <c r="L122" s="19">
        <v>2.7</v>
      </c>
      <c r="M122" s="19" t="s">
        <v>145</v>
      </c>
      <c r="N122" s="20">
        <v>8</v>
      </c>
      <c r="O122" s="10">
        <v>100</v>
      </c>
      <c r="P122" s="20">
        <v>8</v>
      </c>
      <c r="Q122" s="10">
        <v>0</v>
      </c>
      <c r="R122" s="19">
        <v>100</v>
      </c>
      <c r="S122" s="20">
        <v>0</v>
      </c>
      <c r="T122" s="10">
        <v>0</v>
      </c>
      <c r="U122" s="19">
        <v>100</v>
      </c>
      <c r="V122" s="20">
        <v>0</v>
      </c>
      <c r="W122" s="10">
        <v>0</v>
      </c>
      <c r="X122" s="19">
        <v>100</v>
      </c>
      <c r="Y122" s="20">
        <v>0</v>
      </c>
      <c r="Z122" s="10">
        <v>0</v>
      </c>
      <c r="AA122" s="19">
        <v>100</v>
      </c>
      <c r="AB122" s="20">
        <v>0</v>
      </c>
      <c r="AC122" s="20">
        <v>0</v>
      </c>
      <c r="AD122" s="19">
        <v>100</v>
      </c>
      <c r="AE122" s="20">
        <v>0</v>
      </c>
      <c r="AF122" s="10"/>
      <c r="AG122" s="11">
        <v>100</v>
      </c>
    </row>
    <row r="123" spans="1:36" s="11" customFormat="1" ht="15" customHeight="1" x14ac:dyDescent="0.3">
      <c r="A123" s="6" t="s">
        <v>306</v>
      </c>
      <c r="B123" s="16" t="s">
        <v>205</v>
      </c>
      <c r="C123" s="10" t="s">
        <v>66</v>
      </c>
      <c r="D123" s="10">
        <v>2</v>
      </c>
      <c r="E123" s="17" t="s">
        <v>307</v>
      </c>
      <c r="F123" s="16">
        <v>699</v>
      </c>
      <c r="G123" s="18">
        <v>0.6</v>
      </c>
      <c r="H123" s="18" t="s">
        <v>68</v>
      </c>
      <c r="I123" s="18" t="s">
        <v>69</v>
      </c>
      <c r="J123" s="19">
        <v>20.9</v>
      </c>
      <c r="K123" s="10">
        <v>30</v>
      </c>
      <c r="L123" s="19">
        <v>6.27</v>
      </c>
      <c r="M123" s="19">
        <v>20.9</v>
      </c>
      <c r="N123" s="20">
        <v>31.8</v>
      </c>
      <c r="O123" s="10">
        <v>100</v>
      </c>
      <c r="P123" s="20">
        <v>31.8</v>
      </c>
      <c r="Q123" s="20">
        <v>0</v>
      </c>
      <c r="R123" s="19">
        <v>100</v>
      </c>
      <c r="S123" s="20">
        <v>0</v>
      </c>
      <c r="T123" s="10">
        <v>0</v>
      </c>
      <c r="U123" s="19">
        <v>100</v>
      </c>
      <c r="V123" s="20">
        <v>0</v>
      </c>
      <c r="W123" s="20">
        <v>0</v>
      </c>
      <c r="X123" s="19">
        <v>100</v>
      </c>
      <c r="Y123" s="20">
        <v>0</v>
      </c>
      <c r="Z123" s="20">
        <v>0</v>
      </c>
      <c r="AA123" s="19">
        <v>100</v>
      </c>
      <c r="AB123" s="20">
        <v>0</v>
      </c>
      <c r="AC123" s="20">
        <v>0</v>
      </c>
      <c r="AD123" s="19">
        <v>100</v>
      </c>
      <c r="AE123" s="20">
        <v>0</v>
      </c>
      <c r="AF123" s="10"/>
      <c r="AG123" s="11">
        <v>100</v>
      </c>
    </row>
    <row r="124" spans="1:36" s="11" customFormat="1" ht="15" customHeight="1" x14ac:dyDescent="0.3">
      <c r="A124" s="6" t="s">
        <v>308</v>
      </c>
      <c r="B124" s="16" t="s">
        <v>65</v>
      </c>
      <c r="C124" s="10" t="s">
        <v>66</v>
      </c>
      <c r="D124" s="10">
        <v>2</v>
      </c>
      <c r="E124" s="17" t="s">
        <v>309</v>
      </c>
      <c r="F124" s="16">
        <v>690</v>
      </c>
      <c r="G124" s="18">
        <v>0.5</v>
      </c>
      <c r="H124" s="18" t="s">
        <v>68</v>
      </c>
      <c r="I124" s="18" t="s">
        <v>69</v>
      </c>
      <c r="J124" s="19">
        <v>27.1</v>
      </c>
      <c r="K124" s="10">
        <v>30</v>
      </c>
      <c r="L124" s="19">
        <v>8.1300000000000008</v>
      </c>
      <c r="M124" s="19">
        <v>27.1</v>
      </c>
      <c r="N124" s="20">
        <v>14.1</v>
      </c>
      <c r="O124" s="10">
        <v>100</v>
      </c>
      <c r="P124" s="20">
        <v>14.1</v>
      </c>
      <c r="Q124" s="20">
        <v>0</v>
      </c>
      <c r="R124" s="19">
        <v>100</v>
      </c>
      <c r="S124" s="20">
        <v>0</v>
      </c>
      <c r="T124" s="10">
        <v>0</v>
      </c>
      <c r="U124" s="19">
        <v>100</v>
      </c>
      <c r="V124" s="20">
        <v>0</v>
      </c>
      <c r="W124" s="20">
        <v>0</v>
      </c>
      <c r="X124" s="19">
        <v>100</v>
      </c>
      <c r="Y124" s="20">
        <v>0</v>
      </c>
      <c r="Z124" s="20">
        <v>0</v>
      </c>
      <c r="AA124" s="19">
        <v>100</v>
      </c>
      <c r="AB124" s="20">
        <v>0</v>
      </c>
      <c r="AC124" s="20">
        <v>0</v>
      </c>
      <c r="AD124" s="19">
        <v>100</v>
      </c>
      <c r="AE124" s="20">
        <v>0</v>
      </c>
      <c r="AF124" s="10"/>
      <c r="AG124" s="11">
        <v>100</v>
      </c>
    </row>
    <row r="125" spans="1:36" s="11" customFormat="1" x14ac:dyDescent="0.3">
      <c r="A125" s="7" t="s">
        <v>310</v>
      </c>
      <c r="B125" s="7" t="s">
        <v>70</v>
      </c>
      <c r="C125" s="7" t="s">
        <v>71</v>
      </c>
      <c r="D125" s="7">
        <v>2</v>
      </c>
      <c r="E125" s="21" t="s">
        <v>311</v>
      </c>
      <c r="F125" s="7">
        <v>1500</v>
      </c>
      <c r="G125" s="7">
        <v>0.7</v>
      </c>
      <c r="H125" s="7" t="s">
        <v>68</v>
      </c>
      <c r="I125" s="7" t="s">
        <v>69</v>
      </c>
      <c r="J125" s="7" t="s">
        <v>73</v>
      </c>
      <c r="K125" s="7">
        <v>60</v>
      </c>
      <c r="L125" s="7" t="s">
        <v>73</v>
      </c>
      <c r="M125" s="7" t="s">
        <v>73</v>
      </c>
      <c r="N125" s="7" t="s">
        <v>73</v>
      </c>
      <c r="O125" s="7">
        <v>100</v>
      </c>
      <c r="P125" s="7" t="s">
        <v>73</v>
      </c>
      <c r="Q125" s="10"/>
      <c r="R125" s="10"/>
      <c r="S125" s="10"/>
      <c r="T125" s="10"/>
      <c r="U125" s="10"/>
      <c r="V125" s="10"/>
      <c r="W125" s="10"/>
      <c r="X125" s="10"/>
      <c r="Y125" s="10"/>
      <c r="Z125" s="10"/>
      <c r="AA125" s="10"/>
      <c r="AB125" s="10"/>
      <c r="AC125" s="10"/>
      <c r="AD125" s="10"/>
      <c r="AE125" s="10"/>
      <c r="AF125" s="10"/>
      <c r="AG125" s="11">
        <v>100</v>
      </c>
    </row>
    <row r="126" spans="1:36" s="11" customFormat="1" x14ac:dyDescent="0.3">
      <c r="A126" s="7" t="s">
        <v>312</v>
      </c>
      <c r="B126" s="7" t="s">
        <v>84</v>
      </c>
      <c r="C126" s="7" t="s">
        <v>71</v>
      </c>
      <c r="D126" s="7">
        <v>2</v>
      </c>
      <c r="E126" s="21" t="s">
        <v>313</v>
      </c>
      <c r="F126" s="7">
        <v>1501</v>
      </c>
      <c r="G126" s="7">
        <v>1</v>
      </c>
      <c r="H126" s="7" t="s">
        <v>68</v>
      </c>
      <c r="I126" s="7" t="s">
        <v>80</v>
      </c>
      <c r="J126" s="7" t="s">
        <v>73</v>
      </c>
      <c r="K126" s="7">
        <v>60</v>
      </c>
      <c r="L126" s="7" t="s">
        <v>73</v>
      </c>
      <c r="M126" s="7" t="s">
        <v>73</v>
      </c>
      <c r="N126" s="7" t="s">
        <v>73</v>
      </c>
      <c r="O126" s="7">
        <v>100</v>
      </c>
      <c r="P126" s="7" t="s">
        <v>73</v>
      </c>
      <c r="Q126" s="10"/>
      <c r="R126" s="10"/>
      <c r="S126" s="10"/>
      <c r="T126" s="10"/>
      <c r="U126" s="10"/>
      <c r="V126" s="10"/>
      <c r="W126" s="10"/>
      <c r="X126" s="10"/>
      <c r="Y126" s="10"/>
      <c r="Z126" s="10"/>
      <c r="AA126" s="10"/>
      <c r="AB126" s="10"/>
      <c r="AC126" s="10"/>
      <c r="AD126" s="10"/>
      <c r="AE126" s="10"/>
      <c r="AF126" s="10"/>
      <c r="AG126" s="11">
        <v>100</v>
      </c>
    </row>
    <row r="127" spans="1:36" s="11" customFormat="1" x14ac:dyDescent="0.3">
      <c r="A127" s="7" t="s">
        <v>314</v>
      </c>
      <c r="B127" s="7" t="s">
        <v>70</v>
      </c>
      <c r="C127" s="7" t="s">
        <v>66</v>
      </c>
      <c r="D127" s="7">
        <v>2</v>
      </c>
      <c r="E127" s="21" t="s">
        <v>315</v>
      </c>
      <c r="F127" s="7">
        <v>604</v>
      </c>
      <c r="G127" s="7">
        <v>0.7</v>
      </c>
      <c r="H127" s="7" t="s">
        <v>68</v>
      </c>
      <c r="I127" s="7" t="s">
        <v>69</v>
      </c>
      <c r="J127" s="7" t="s">
        <v>73</v>
      </c>
      <c r="K127" s="7">
        <v>30</v>
      </c>
      <c r="L127" s="7" t="s">
        <v>73</v>
      </c>
      <c r="M127" s="7" t="s">
        <v>73</v>
      </c>
      <c r="N127" s="7" t="s">
        <v>73</v>
      </c>
      <c r="O127" s="7">
        <v>100</v>
      </c>
      <c r="P127" s="7" t="s">
        <v>73</v>
      </c>
      <c r="Q127" s="10"/>
      <c r="R127" s="10"/>
      <c r="S127" s="10"/>
      <c r="T127" s="10"/>
      <c r="U127" s="10"/>
      <c r="V127" s="10"/>
      <c r="W127" s="10"/>
      <c r="X127" s="10"/>
      <c r="Y127" s="10"/>
      <c r="Z127" s="10"/>
      <c r="AA127" s="10"/>
      <c r="AB127" s="10"/>
      <c r="AC127" s="10"/>
      <c r="AD127" s="10"/>
      <c r="AE127" s="10"/>
      <c r="AF127" s="10"/>
      <c r="AG127" s="11">
        <v>100</v>
      </c>
    </row>
    <row r="128" spans="1:36" s="11" customFormat="1" x14ac:dyDescent="0.3">
      <c r="A128" s="7" t="s">
        <v>314</v>
      </c>
      <c r="B128" s="7" t="s">
        <v>84</v>
      </c>
      <c r="C128" s="7" t="s">
        <v>66</v>
      </c>
      <c r="D128" s="7">
        <v>2</v>
      </c>
      <c r="E128" s="21" t="s">
        <v>316</v>
      </c>
      <c r="F128" s="7">
        <v>934</v>
      </c>
      <c r="G128" s="7">
        <v>1</v>
      </c>
      <c r="H128" s="7" t="s">
        <v>68</v>
      </c>
      <c r="I128" s="7" t="s">
        <v>80</v>
      </c>
      <c r="J128" s="7" t="s">
        <v>73</v>
      </c>
      <c r="K128" s="7">
        <v>60</v>
      </c>
      <c r="L128" s="7" t="s">
        <v>73</v>
      </c>
      <c r="M128" s="7" t="s">
        <v>73</v>
      </c>
      <c r="N128" s="7" t="s">
        <v>73</v>
      </c>
      <c r="O128" s="7">
        <v>100</v>
      </c>
      <c r="P128" s="7" t="s">
        <v>73</v>
      </c>
      <c r="Q128" s="10"/>
      <c r="R128" s="10"/>
      <c r="S128" s="10"/>
      <c r="T128" s="10"/>
      <c r="U128" s="10"/>
      <c r="V128" s="10"/>
      <c r="W128" s="10"/>
      <c r="X128" s="10"/>
      <c r="Y128" s="10"/>
      <c r="Z128" s="10"/>
      <c r="AA128" s="10"/>
      <c r="AB128" s="10"/>
      <c r="AC128" s="10"/>
      <c r="AD128" s="10"/>
      <c r="AE128" s="10"/>
      <c r="AF128" s="10"/>
      <c r="AG128" s="11">
        <v>100</v>
      </c>
    </row>
    <row r="129" spans="1:33" s="11" customFormat="1" ht="15" customHeight="1" x14ac:dyDescent="0.3">
      <c r="A129" s="6" t="s">
        <v>317</v>
      </c>
      <c r="B129" s="10" t="s">
        <v>318</v>
      </c>
      <c r="C129" s="7" t="s">
        <v>71</v>
      </c>
      <c r="D129" s="10">
        <v>3</v>
      </c>
      <c r="E129" s="22" t="s">
        <v>319</v>
      </c>
      <c r="F129" s="6">
        <v>1068</v>
      </c>
      <c r="G129" s="28">
        <v>1</v>
      </c>
      <c r="H129" s="18" t="s">
        <v>68</v>
      </c>
      <c r="I129" s="7" t="s">
        <v>80</v>
      </c>
      <c r="J129" s="19">
        <v>0.18</v>
      </c>
      <c r="K129" s="6">
        <v>100</v>
      </c>
      <c r="L129" s="19">
        <v>0.18</v>
      </c>
      <c r="M129" s="19" t="s">
        <v>145</v>
      </c>
      <c r="N129" s="20">
        <v>0.06</v>
      </c>
      <c r="O129" s="10">
        <v>100</v>
      </c>
      <c r="P129" s="20">
        <v>0.06</v>
      </c>
      <c r="Q129" s="20">
        <v>0</v>
      </c>
      <c r="R129" s="19">
        <v>100</v>
      </c>
      <c r="S129" s="20">
        <v>0</v>
      </c>
      <c r="T129" s="10">
        <v>0</v>
      </c>
      <c r="U129" s="19">
        <v>100</v>
      </c>
      <c r="V129" s="20">
        <v>0</v>
      </c>
      <c r="W129" s="20">
        <v>0</v>
      </c>
      <c r="X129" s="19">
        <v>100</v>
      </c>
      <c r="Y129" s="20">
        <v>0</v>
      </c>
      <c r="Z129" s="20">
        <v>0</v>
      </c>
      <c r="AA129" s="19">
        <v>100</v>
      </c>
      <c r="AB129" s="20">
        <v>0</v>
      </c>
      <c r="AC129" s="20">
        <v>0</v>
      </c>
      <c r="AD129" s="19">
        <v>100</v>
      </c>
      <c r="AE129" s="20">
        <v>0</v>
      </c>
      <c r="AF129" s="10"/>
      <c r="AG129" s="11">
        <v>100</v>
      </c>
    </row>
    <row r="130" spans="1:33" s="11" customFormat="1" ht="15" customHeight="1" x14ac:dyDescent="0.3">
      <c r="A130" s="6" t="s">
        <v>320</v>
      </c>
      <c r="B130" s="10" t="s">
        <v>318</v>
      </c>
      <c r="C130" s="7" t="s">
        <v>71</v>
      </c>
      <c r="D130" s="10">
        <v>3</v>
      </c>
      <c r="E130" s="22" t="s">
        <v>321</v>
      </c>
      <c r="F130" s="6">
        <v>1077</v>
      </c>
      <c r="G130" s="28">
        <v>1</v>
      </c>
      <c r="H130" s="18" t="s">
        <v>68</v>
      </c>
      <c r="I130" s="7" t="s">
        <v>80</v>
      </c>
      <c r="J130" s="19">
        <v>0.5</v>
      </c>
      <c r="K130" s="6">
        <v>100</v>
      </c>
      <c r="L130" s="19">
        <v>0.5</v>
      </c>
      <c r="M130" s="19" t="s">
        <v>145</v>
      </c>
      <c r="N130" s="20">
        <v>0.2</v>
      </c>
      <c r="O130" s="10">
        <v>100</v>
      </c>
      <c r="P130" s="20">
        <v>0.2</v>
      </c>
      <c r="Q130" s="20">
        <v>0</v>
      </c>
      <c r="R130" s="19">
        <v>100</v>
      </c>
      <c r="S130" s="20">
        <v>0</v>
      </c>
      <c r="T130" s="10">
        <v>0</v>
      </c>
      <c r="U130" s="19">
        <v>100</v>
      </c>
      <c r="V130" s="20">
        <v>0</v>
      </c>
      <c r="W130" s="20">
        <v>0</v>
      </c>
      <c r="X130" s="19">
        <v>100</v>
      </c>
      <c r="Y130" s="20">
        <v>0</v>
      </c>
      <c r="Z130" s="20">
        <v>0</v>
      </c>
      <c r="AA130" s="19">
        <v>100</v>
      </c>
      <c r="AB130" s="20">
        <v>0</v>
      </c>
      <c r="AC130" s="20">
        <v>0</v>
      </c>
      <c r="AD130" s="19">
        <v>100</v>
      </c>
      <c r="AE130" s="20">
        <v>0</v>
      </c>
      <c r="AF130" s="10"/>
      <c r="AG130" s="11">
        <v>100</v>
      </c>
    </row>
    <row r="131" spans="1:33" s="11" customFormat="1" ht="15" customHeight="1" x14ac:dyDescent="0.3">
      <c r="A131" s="6" t="s">
        <v>322</v>
      </c>
      <c r="B131" s="10" t="s">
        <v>318</v>
      </c>
      <c r="C131" s="7" t="s">
        <v>71</v>
      </c>
      <c r="D131" s="10">
        <v>3</v>
      </c>
      <c r="E131" s="22" t="s">
        <v>323</v>
      </c>
      <c r="F131" s="6">
        <v>1075</v>
      </c>
      <c r="G131" s="28">
        <v>1</v>
      </c>
      <c r="H131" s="18" t="s">
        <v>68</v>
      </c>
      <c r="I131" s="7" t="s">
        <v>80</v>
      </c>
      <c r="J131" s="19">
        <v>0.49</v>
      </c>
      <c r="K131" s="6">
        <v>100</v>
      </c>
      <c r="L131" s="19">
        <v>0.49</v>
      </c>
      <c r="M131" s="19" t="s">
        <v>145</v>
      </c>
      <c r="N131" s="20">
        <v>0.08</v>
      </c>
      <c r="O131" s="10">
        <v>100</v>
      </c>
      <c r="P131" s="20">
        <v>0.08</v>
      </c>
      <c r="Q131" s="20">
        <v>0</v>
      </c>
      <c r="R131" s="19">
        <v>100</v>
      </c>
      <c r="S131" s="20">
        <v>0</v>
      </c>
      <c r="T131" s="10">
        <v>0</v>
      </c>
      <c r="U131" s="19">
        <v>100</v>
      </c>
      <c r="V131" s="20">
        <v>0</v>
      </c>
      <c r="W131" s="20">
        <v>0</v>
      </c>
      <c r="X131" s="19">
        <v>100</v>
      </c>
      <c r="Y131" s="20">
        <v>0</v>
      </c>
      <c r="Z131" s="20">
        <v>0</v>
      </c>
      <c r="AA131" s="19">
        <v>100</v>
      </c>
      <c r="AB131" s="20">
        <v>0</v>
      </c>
      <c r="AC131" s="20">
        <v>0</v>
      </c>
      <c r="AD131" s="19">
        <v>100</v>
      </c>
      <c r="AE131" s="20">
        <v>0</v>
      </c>
      <c r="AF131" s="10"/>
      <c r="AG131" s="11">
        <v>100</v>
      </c>
    </row>
    <row r="132" spans="1:33" s="11" customFormat="1" ht="15" customHeight="1" x14ac:dyDescent="0.3">
      <c r="A132" s="6" t="s">
        <v>324</v>
      </c>
      <c r="B132" s="10" t="s">
        <v>318</v>
      </c>
      <c r="C132" s="7" t="s">
        <v>71</v>
      </c>
      <c r="D132" s="10">
        <v>3</v>
      </c>
      <c r="E132" s="22" t="s">
        <v>325</v>
      </c>
      <c r="F132" s="10">
        <v>1066</v>
      </c>
      <c r="G132" s="28">
        <v>1</v>
      </c>
      <c r="H132" s="18" t="s">
        <v>68</v>
      </c>
      <c r="I132" s="7" t="s">
        <v>80</v>
      </c>
      <c r="J132" s="19">
        <v>7.0000000000000007E-2</v>
      </c>
      <c r="K132" s="10">
        <v>100</v>
      </c>
      <c r="L132" s="19">
        <v>7.0000000000000007E-2</v>
      </c>
      <c r="M132" s="19" t="s">
        <v>145</v>
      </c>
      <c r="N132" s="20">
        <v>0.02</v>
      </c>
      <c r="O132" s="10">
        <v>100</v>
      </c>
      <c r="P132" s="20">
        <v>0.02</v>
      </c>
      <c r="Q132" s="20">
        <v>0</v>
      </c>
      <c r="R132" s="19">
        <v>100</v>
      </c>
      <c r="S132" s="20">
        <v>0</v>
      </c>
      <c r="T132" s="10">
        <v>0</v>
      </c>
      <c r="U132" s="19">
        <v>100</v>
      </c>
      <c r="V132" s="20">
        <v>0</v>
      </c>
      <c r="W132" s="20">
        <v>0</v>
      </c>
      <c r="X132" s="19">
        <v>100</v>
      </c>
      <c r="Y132" s="20">
        <v>0</v>
      </c>
      <c r="Z132" s="20">
        <v>0</v>
      </c>
      <c r="AA132" s="19">
        <v>100</v>
      </c>
      <c r="AB132" s="20">
        <v>0</v>
      </c>
      <c r="AC132" s="20">
        <v>0</v>
      </c>
      <c r="AD132" s="19">
        <v>100</v>
      </c>
      <c r="AE132" s="20">
        <v>0</v>
      </c>
      <c r="AF132" s="10"/>
      <c r="AG132" s="11">
        <v>100</v>
      </c>
    </row>
    <row r="133" spans="1:33" s="11" customFormat="1" ht="15" customHeight="1" x14ac:dyDescent="0.3">
      <c r="A133" s="6" t="s">
        <v>326</v>
      </c>
      <c r="B133" s="10" t="s">
        <v>318</v>
      </c>
      <c r="C133" s="7" t="s">
        <v>71</v>
      </c>
      <c r="D133" s="10">
        <v>3</v>
      </c>
      <c r="E133" s="22" t="s">
        <v>327</v>
      </c>
      <c r="F133" s="6">
        <v>1067</v>
      </c>
      <c r="G133" s="28">
        <v>1</v>
      </c>
      <c r="H133" s="18" t="s">
        <v>68</v>
      </c>
      <c r="I133" s="7" t="s">
        <v>80</v>
      </c>
      <c r="J133" s="19">
        <v>0.02</v>
      </c>
      <c r="K133" s="6">
        <v>100</v>
      </c>
      <c r="L133" s="19">
        <v>0.02</v>
      </c>
      <c r="M133" s="19" t="s">
        <v>145</v>
      </c>
      <c r="N133" s="20">
        <v>0.01</v>
      </c>
      <c r="O133" s="10">
        <v>100</v>
      </c>
      <c r="P133" s="20">
        <v>0.01</v>
      </c>
      <c r="Q133" s="20">
        <v>0</v>
      </c>
      <c r="R133" s="19">
        <v>100</v>
      </c>
      <c r="S133" s="20">
        <v>0</v>
      </c>
      <c r="T133" s="10">
        <v>0</v>
      </c>
      <c r="U133" s="19">
        <v>100</v>
      </c>
      <c r="V133" s="20">
        <v>0</v>
      </c>
      <c r="W133" s="20">
        <v>0</v>
      </c>
      <c r="X133" s="19">
        <v>100</v>
      </c>
      <c r="Y133" s="20">
        <v>0</v>
      </c>
      <c r="Z133" s="20">
        <v>0</v>
      </c>
      <c r="AA133" s="19">
        <v>100</v>
      </c>
      <c r="AB133" s="20">
        <v>0</v>
      </c>
      <c r="AC133" s="20">
        <v>0</v>
      </c>
      <c r="AD133" s="19">
        <v>100</v>
      </c>
      <c r="AE133" s="20">
        <v>0</v>
      </c>
      <c r="AF133" s="10"/>
      <c r="AG133" s="11">
        <v>100</v>
      </c>
    </row>
    <row r="134" spans="1:33" s="11" customFormat="1" ht="15" customHeight="1" x14ac:dyDescent="0.3">
      <c r="A134" s="6" t="s">
        <v>328</v>
      </c>
      <c r="B134" s="10" t="s">
        <v>318</v>
      </c>
      <c r="C134" s="7" t="s">
        <v>71</v>
      </c>
      <c r="D134" s="10">
        <v>3</v>
      </c>
      <c r="E134" s="22" t="s">
        <v>329</v>
      </c>
      <c r="F134" s="6">
        <v>1076</v>
      </c>
      <c r="G134" s="28">
        <v>1</v>
      </c>
      <c r="H134" s="18" t="s">
        <v>68</v>
      </c>
      <c r="I134" s="7" t="s">
        <v>80</v>
      </c>
      <c r="J134" s="19">
        <v>0.1</v>
      </c>
      <c r="K134" s="6">
        <v>100</v>
      </c>
      <c r="L134" s="19">
        <v>0.1</v>
      </c>
      <c r="M134" s="19" t="s">
        <v>145</v>
      </c>
      <c r="N134" s="20">
        <v>0.04</v>
      </c>
      <c r="O134" s="10">
        <v>100</v>
      </c>
      <c r="P134" s="20">
        <v>0.04</v>
      </c>
      <c r="Q134" s="20">
        <v>0</v>
      </c>
      <c r="R134" s="19">
        <v>100</v>
      </c>
      <c r="S134" s="20">
        <v>0</v>
      </c>
      <c r="T134" s="10">
        <v>0</v>
      </c>
      <c r="U134" s="19">
        <v>100</v>
      </c>
      <c r="V134" s="20">
        <v>0</v>
      </c>
      <c r="W134" s="20">
        <v>0</v>
      </c>
      <c r="X134" s="19">
        <v>100</v>
      </c>
      <c r="Y134" s="20">
        <v>0</v>
      </c>
      <c r="Z134" s="20">
        <v>0</v>
      </c>
      <c r="AA134" s="19">
        <v>100</v>
      </c>
      <c r="AB134" s="20">
        <v>0</v>
      </c>
      <c r="AC134" s="20">
        <v>0</v>
      </c>
      <c r="AD134" s="19">
        <v>100</v>
      </c>
      <c r="AE134" s="20">
        <v>0</v>
      </c>
      <c r="AF134" s="10"/>
      <c r="AG134" s="11">
        <v>100</v>
      </c>
    </row>
    <row r="135" spans="1:33" s="11" customFormat="1" ht="15" customHeight="1" x14ac:dyDescent="0.3">
      <c r="A135" s="6" t="s">
        <v>330</v>
      </c>
      <c r="B135" s="10" t="s">
        <v>318</v>
      </c>
      <c r="C135" s="7" t="s">
        <v>71</v>
      </c>
      <c r="D135" s="10">
        <v>3</v>
      </c>
      <c r="E135" s="22" t="s">
        <v>331</v>
      </c>
      <c r="F135" s="6">
        <v>1070</v>
      </c>
      <c r="G135" s="28">
        <v>1</v>
      </c>
      <c r="H135" s="18" t="s">
        <v>68</v>
      </c>
      <c r="I135" s="7" t="s">
        <v>80</v>
      </c>
      <c r="J135" s="19">
        <v>0.18</v>
      </c>
      <c r="K135" s="6">
        <v>100</v>
      </c>
      <c r="L135" s="19">
        <v>0.18</v>
      </c>
      <c r="M135" s="19" t="s">
        <v>145</v>
      </c>
      <c r="N135" s="20">
        <v>0.05</v>
      </c>
      <c r="O135" s="10">
        <v>100</v>
      </c>
      <c r="P135" s="20">
        <v>0.05</v>
      </c>
      <c r="Q135" s="20">
        <v>0</v>
      </c>
      <c r="R135" s="19">
        <v>100</v>
      </c>
      <c r="S135" s="20">
        <v>0</v>
      </c>
      <c r="T135" s="10">
        <v>0</v>
      </c>
      <c r="U135" s="19">
        <v>100</v>
      </c>
      <c r="V135" s="20">
        <v>0</v>
      </c>
      <c r="W135" s="20">
        <v>0</v>
      </c>
      <c r="X135" s="19">
        <v>100</v>
      </c>
      <c r="Y135" s="20">
        <v>0</v>
      </c>
      <c r="Z135" s="20">
        <v>0</v>
      </c>
      <c r="AA135" s="19">
        <v>100</v>
      </c>
      <c r="AB135" s="20">
        <v>0</v>
      </c>
      <c r="AC135" s="20">
        <v>0</v>
      </c>
      <c r="AD135" s="19">
        <v>100</v>
      </c>
      <c r="AE135" s="20">
        <v>0</v>
      </c>
      <c r="AF135" s="10"/>
      <c r="AG135" s="11">
        <v>100</v>
      </c>
    </row>
    <row r="136" spans="1:33" s="11" customFormat="1" ht="15" customHeight="1" x14ac:dyDescent="0.3">
      <c r="A136" s="6" t="s">
        <v>332</v>
      </c>
      <c r="B136" s="10" t="s">
        <v>318</v>
      </c>
      <c r="C136" s="7" t="s">
        <v>71</v>
      </c>
      <c r="D136" s="10">
        <v>3</v>
      </c>
      <c r="E136" s="22" t="s">
        <v>333</v>
      </c>
      <c r="F136" s="6">
        <v>1072</v>
      </c>
      <c r="G136" s="28">
        <v>1</v>
      </c>
      <c r="H136" s="18" t="s">
        <v>68</v>
      </c>
      <c r="I136" s="7" t="s">
        <v>80</v>
      </c>
      <c r="J136" s="19">
        <v>0.39</v>
      </c>
      <c r="K136" s="6">
        <v>100</v>
      </c>
      <c r="L136" s="19">
        <v>0.39</v>
      </c>
      <c r="M136" s="19" t="s">
        <v>145</v>
      </c>
      <c r="N136" s="20">
        <v>0.08</v>
      </c>
      <c r="O136" s="10">
        <v>100</v>
      </c>
      <c r="P136" s="20">
        <v>0.08</v>
      </c>
      <c r="Q136" s="20">
        <v>0</v>
      </c>
      <c r="R136" s="19">
        <v>100</v>
      </c>
      <c r="S136" s="20">
        <v>0</v>
      </c>
      <c r="T136" s="10">
        <v>0</v>
      </c>
      <c r="U136" s="19">
        <v>100</v>
      </c>
      <c r="V136" s="20">
        <v>0</v>
      </c>
      <c r="W136" s="20">
        <v>0</v>
      </c>
      <c r="X136" s="19">
        <v>100</v>
      </c>
      <c r="Y136" s="20">
        <v>0</v>
      </c>
      <c r="Z136" s="20">
        <v>0</v>
      </c>
      <c r="AA136" s="19">
        <v>100</v>
      </c>
      <c r="AB136" s="20">
        <v>0</v>
      </c>
      <c r="AC136" s="20">
        <v>0</v>
      </c>
      <c r="AD136" s="19">
        <v>100</v>
      </c>
      <c r="AE136" s="20">
        <v>0</v>
      </c>
      <c r="AF136" s="10"/>
      <c r="AG136" s="11">
        <v>100</v>
      </c>
    </row>
    <row r="137" spans="1:33" s="11" customFormat="1" ht="15" customHeight="1" x14ac:dyDescent="0.3">
      <c r="A137" s="6" t="s">
        <v>334</v>
      </c>
      <c r="B137" s="10" t="s">
        <v>318</v>
      </c>
      <c r="C137" s="7" t="s">
        <v>71</v>
      </c>
      <c r="D137" s="10">
        <v>3</v>
      </c>
      <c r="E137" s="22" t="s">
        <v>335</v>
      </c>
      <c r="F137" s="6">
        <v>1073</v>
      </c>
      <c r="G137" s="28">
        <v>1</v>
      </c>
      <c r="H137" s="18" t="s">
        <v>68</v>
      </c>
      <c r="I137" s="7" t="s">
        <v>80</v>
      </c>
      <c r="J137" s="19">
        <v>0.4</v>
      </c>
      <c r="K137" s="6">
        <v>100</v>
      </c>
      <c r="L137" s="19">
        <v>0.4</v>
      </c>
      <c r="M137" s="19" t="s">
        <v>145</v>
      </c>
      <c r="N137" s="20">
        <v>0.08</v>
      </c>
      <c r="O137" s="10">
        <v>100</v>
      </c>
      <c r="P137" s="20">
        <v>0.08</v>
      </c>
      <c r="Q137" s="20">
        <v>0</v>
      </c>
      <c r="R137" s="19">
        <v>100</v>
      </c>
      <c r="S137" s="20">
        <v>0</v>
      </c>
      <c r="T137" s="10">
        <v>0</v>
      </c>
      <c r="U137" s="19">
        <v>100</v>
      </c>
      <c r="V137" s="20">
        <v>0</v>
      </c>
      <c r="W137" s="20">
        <v>0</v>
      </c>
      <c r="X137" s="19">
        <v>100</v>
      </c>
      <c r="Y137" s="20">
        <v>0</v>
      </c>
      <c r="Z137" s="20">
        <v>0</v>
      </c>
      <c r="AA137" s="19">
        <v>100</v>
      </c>
      <c r="AB137" s="20">
        <v>0</v>
      </c>
      <c r="AC137" s="20">
        <v>0</v>
      </c>
      <c r="AD137" s="19">
        <v>100</v>
      </c>
      <c r="AE137" s="20">
        <v>0</v>
      </c>
      <c r="AF137" s="10"/>
      <c r="AG137" s="11">
        <v>100</v>
      </c>
    </row>
    <row r="138" spans="1:33" s="11" customFormat="1" ht="15" customHeight="1" x14ac:dyDescent="0.3">
      <c r="A138" s="6" t="s">
        <v>336</v>
      </c>
      <c r="B138" s="10" t="s">
        <v>318</v>
      </c>
      <c r="C138" s="7" t="s">
        <v>71</v>
      </c>
      <c r="D138" s="10">
        <v>3</v>
      </c>
      <c r="E138" s="22" t="s">
        <v>337</v>
      </c>
      <c r="F138" s="6">
        <v>1071</v>
      </c>
      <c r="G138" s="28">
        <v>1</v>
      </c>
      <c r="H138" s="18" t="s">
        <v>68</v>
      </c>
      <c r="I138" s="7" t="s">
        <v>80</v>
      </c>
      <c r="J138" s="19">
        <v>0.19</v>
      </c>
      <c r="K138" s="6">
        <v>100</v>
      </c>
      <c r="L138" s="19">
        <v>0.19</v>
      </c>
      <c r="M138" s="19" t="s">
        <v>145</v>
      </c>
      <c r="N138" s="20">
        <v>0.06</v>
      </c>
      <c r="O138" s="10">
        <v>100</v>
      </c>
      <c r="P138" s="20">
        <v>0.06</v>
      </c>
      <c r="Q138" s="20">
        <v>0</v>
      </c>
      <c r="R138" s="19">
        <v>100</v>
      </c>
      <c r="S138" s="20">
        <v>0</v>
      </c>
      <c r="T138" s="10">
        <v>0</v>
      </c>
      <c r="U138" s="19">
        <v>100</v>
      </c>
      <c r="V138" s="20">
        <v>0</v>
      </c>
      <c r="W138" s="20">
        <v>0</v>
      </c>
      <c r="X138" s="19">
        <v>100</v>
      </c>
      <c r="Y138" s="20">
        <v>0</v>
      </c>
      <c r="Z138" s="20">
        <v>0</v>
      </c>
      <c r="AA138" s="19">
        <v>100</v>
      </c>
      <c r="AB138" s="20">
        <v>0</v>
      </c>
      <c r="AC138" s="20">
        <v>0</v>
      </c>
      <c r="AD138" s="19">
        <v>100</v>
      </c>
      <c r="AE138" s="20">
        <v>0</v>
      </c>
      <c r="AF138" s="10"/>
      <c r="AG138" s="11">
        <v>100</v>
      </c>
    </row>
    <row r="139" spans="1:33" s="11" customFormat="1" ht="15" customHeight="1" x14ac:dyDescent="0.3">
      <c r="A139" s="6" t="s">
        <v>338</v>
      </c>
      <c r="B139" s="10" t="s">
        <v>318</v>
      </c>
      <c r="C139" s="7" t="s">
        <v>71</v>
      </c>
      <c r="D139" s="10">
        <v>3</v>
      </c>
      <c r="E139" s="22" t="s">
        <v>339</v>
      </c>
      <c r="F139" s="6">
        <v>1069</v>
      </c>
      <c r="G139" s="28">
        <v>1</v>
      </c>
      <c r="H139" s="18" t="s">
        <v>68</v>
      </c>
      <c r="I139" s="7" t="s">
        <v>80</v>
      </c>
      <c r="J139" s="19">
        <v>0.28000000000000003</v>
      </c>
      <c r="K139" s="6">
        <v>100</v>
      </c>
      <c r="L139" s="19">
        <v>0.28000000000000003</v>
      </c>
      <c r="M139" s="19" t="s">
        <v>145</v>
      </c>
      <c r="N139" s="20">
        <v>0.11</v>
      </c>
      <c r="O139" s="10">
        <v>100</v>
      </c>
      <c r="P139" s="20">
        <v>0.11</v>
      </c>
      <c r="Q139" s="20">
        <v>0</v>
      </c>
      <c r="R139" s="19">
        <v>100</v>
      </c>
      <c r="S139" s="20">
        <v>0</v>
      </c>
      <c r="T139" s="10">
        <v>0</v>
      </c>
      <c r="U139" s="19">
        <v>100</v>
      </c>
      <c r="V139" s="20">
        <v>0</v>
      </c>
      <c r="W139" s="20">
        <v>0</v>
      </c>
      <c r="X139" s="19">
        <v>100</v>
      </c>
      <c r="Y139" s="20">
        <v>0</v>
      </c>
      <c r="Z139" s="20">
        <v>0</v>
      </c>
      <c r="AA139" s="19">
        <v>100</v>
      </c>
      <c r="AB139" s="20">
        <v>0</v>
      </c>
      <c r="AC139" s="20">
        <v>0</v>
      </c>
      <c r="AD139" s="19">
        <v>100</v>
      </c>
      <c r="AE139" s="20">
        <v>0</v>
      </c>
      <c r="AF139" s="10"/>
      <c r="AG139" s="11">
        <v>100</v>
      </c>
    </row>
    <row r="140" spans="1:33" s="11" customFormat="1" ht="15" customHeight="1" x14ac:dyDescent="0.3">
      <c r="A140" s="6" t="s">
        <v>340</v>
      </c>
      <c r="B140" s="10" t="s">
        <v>318</v>
      </c>
      <c r="C140" s="7" t="s">
        <v>71</v>
      </c>
      <c r="D140" s="10">
        <v>3</v>
      </c>
      <c r="E140" s="22" t="s">
        <v>341</v>
      </c>
      <c r="F140" s="6">
        <v>1074</v>
      </c>
      <c r="G140" s="28">
        <v>1</v>
      </c>
      <c r="H140" s="18" t="s">
        <v>68</v>
      </c>
      <c r="I140" s="7" t="s">
        <v>80</v>
      </c>
      <c r="J140" s="19">
        <v>0.54</v>
      </c>
      <c r="K140" s="6">
        <v>100</v>
      </c>
      <c r="L140" s="19">
        <v>0.54</v>
      </c>
      <c r="M140" s="19" t="s">
        <v>145</v>
      </c>
      <c r="N140" s="20">
        <v>0.1</v>
      </c>
      <c r="O140" s="10">
        <v>100</v>
      </c>
      <c r="P140" s="20">
        <v>0.1</v>
      </c>
      <c r="Q140" s="20">
        <v>0</v>
      </c>
      <c r="R140" s="19">
        <v>100</v>
      </c>
      <c r="S140" s="20">
        <v>0</v>
      </c>
      <c r="T140" s="10">
        <v>0</v>
      </c>
      <c r="U140" s="19">
        <v>100</v>
      </c>
      <c r="V140" s="20">
        <v>0</v>
      </c>
      <c r="W140" s="20">
        <v>0</v>
      </c>
      <c r="X140" s="19">
        <v>100</v>
      </c>
      <c r="Y140" s="20">
        <v>0</v>
      </c>
      <c r="Z140" s="20">
        <v>0</v>
      </c>
      <c r="AA140" s="19">
        <v>100</v>
      </c>
      <c r="AB140" s="20">
        <v>0</v>
      </c>
      <c r="AC140" s="20">
        <v>0</v>
      </c>
      <c r="AD140" s="19">
        <v>100</v>
      </c>
      <c r="AE140" s="20">
        <v>0</v>
      </c>
      <c r="AF140" s="10"/>
      <c r="AG140" s="11">
        <v>100</v>
      </c>
    </row>
    <row r="141" spans="1:33" s="11" customFormat="1" x14ac:dyDescent="0.3">
      <c r="A141" s="7" t="s">
        <v>342</v>
      </c>
      <c r="B141" s="7" t="s">
        <v>84</v>
      </c>
      <c r="C141" s="7" t="s">
        <v>71</v>
      </c>
      <c r="D141" s="7">
        <v>3</v>
      </c>
      <c r="E141" s="21" t="s">
        <v>343</v>
      </c>
      <c r="F141" s="7">
        <v>1001</v>
      </c>
      <c r="G141" s="7">
        <v>1</v>
      </c>
      <c r="H141" s="7" t="s">
        <v>68</v>
      </c>
      <c r="I141" s="7" t="s">
        <v>80</v>
      </c>
      <c r="J141" s="7" t="s">
        <v>73</v>
      </c>
      <c r="K141" s="7">
        <v>100</v>
      </c>
      <c r="L141" s="7" t="s">
        <v>73</v>
      </c>
      <c r="M141" s="7" t="s">
        <v>73</v>
      </c>
      <c r="N141" s="7" t="s">
        <v>73</v>
      </c>
      <c r="O141" s="7">
        <v>100</v>
      </c>
      <c r="P141" s="7" t="s">
        <v>73</v>
      </c>
      <c r="Q141" s="10"/>
      <c r="R141" s="10"/>
      <c r="S141" s="10"/>
      <c r="T141" s="10"/>
      <c r="U141" s="10"/>
      <c r="V141" s="10"/>
      <c r="W141" s="10"/>
      <c r="X141" s="10"/>
      <c r="Y141" s="10"/>
      <c r="Z141" s="10"/>
      <c r="AA141" s="10"/>
      <c r="AB141" s="10"/>
      <c r="AC141" s="10"/>
      <c r="AD141" s="10"/>
      <c r="AE141" s="10"/>
      <c r="AF141" s="10"/>
      <c r="AG141" s="11">
        <v>100</v>
      </c>
    </row>
    <row r="142" spans="1:33" s="11" customFormat="1" x14ac:dyDescent="0.3">
      <c r="A142" s="7" t="s">
        <v>344</v>
      </c>
      <c r="B142" s="7" t="s">
        <v>84</v>
      </c>
      <c r="C142" s="7" t="s">
        <v>71</v>
      </c>
      <c r="D142" s="7">
        <v>2</v>
      </c>
      <c r="E142" s="21" t="s">
        <v>345</v>
      </c>
      <c r="F142" s="7">
        <v>1006</v>
      </c>
      <c r="G142" s="7">
        <v>1</v>
      </c>
      <c r="H142" s="7" t="s">
        <v>68</v>
      </c>
      <c r="I142" s="7" t="s">
        <v>80</v>
      </c>
      <c r="J142" s="7" t="s">
        <v>73</v>
      </c>
      <c r="K142" s="7">
        <v>60</v>
      </c>
      <c r="L142" s="7" t="s">
        <v>73</v>
      </c>
      <c r="M142" s="7" t="s">
        <v>73</v>
      </c>
      <c r="N142" s="7" t="s">
        <v>73</v>
      </c>
      <c r="O142" s="7">
        <v>100</v>
      </c>
      <c r="P142" s="7" t="s">
        <v>73</v>
      </c>
      <c r="Q142" s="10"/>
      <c r="R142" s="10"/>
      <c r="S142" s="10"/>
      <c r="T142" s="10"/>
      <c r="U142" s="10"/>
      <c r="V142" s="10"/>
      <c r="W142" s="10"/>
      <c r="X142" s="10"/>
      <c r="Y142" s="10"/>
      <c r="Z142" s="10"/>
      <c r="AA142" s="10"/>
      <c r="AB142" s="10"/>
      <c r="AC142" s="10"/>
      <c r="AD142" s="10"/>
      <c r="AE142" s="10"/>
      <c r="AF142" s="10"/>
      <c r="AG142" s="11">
        <v>100</v>
      </c>
    </row>
    <row r="143" spans="1:33" s="11" customFormat="1" x14ac:dyDescent="0.3">
      <c r="A143" s="7" t="s">
        <v>346</v>
      </c>
      <c r="B143" s="7" t="s">
        <v>84</v>
      </c>
      <c r="C143" s="7" t="s">
        <v>66</v>
      </c>
      <c r="D143" s="7">
        <v>2</v>
      </c>
      <c r="E143" s="21" t="s">
        <v>347</v>
      </c>
      <c r="F143" s="7">
        <v>552</v>
      </c>
      <c r="G143" s="7">
        <v>1</v>
      </c>
      <c r="H143" s="7" t="s">
        <v>68</v>
      </c>
      <c r="I143" s="7" t="s">
        <v>80</v>
      </c>
      <c r="J143" s="7" t="s">
        <v>73</v>
      </c>
      <c r="K143" s="7">
        <v>60</v>
      </c>
      <c r="L143" s="7" t="s">
        <v>73</v>
      </c>
      <c r="M143" s="7" t="s">
        <v>73</v>
      </c>
      <c r="N143" s="7" t="s">
        <v>73</v>
      </c>
      <c r="O143" s="7">
        <v>100</v>
      </c>
      <c r="P143" s="7" t="s">
        <v>73</v>
      </c>
      <c r="Q143" s="10"/>
      <c r="R143" s="10"/>
      <c r="S143" s="10"/>
      <c r="T143" s="10"/>
      <c r="U143" s="10"/>
      <c r="V143" s="10"/>
      <c r="W143" s="10"/>
      <c r="X143" s="10"/>
      <c r="Y143" s="10"/>
      <c r="Z143" s="10"/>
      <c r="AA143" s="10"/>
      <c r="AB143" s="10"/>
      <c r="AC143" s="10"/>
      <c r="AD143" s="10"/>
      <c r="AE143" s="10"/>
      <c r="AF143" s="10"/>
      <c r="AG143" s="11">
        <v>100</v>
      </c>
    </row>
    <row r="144" spans="1:33" s="11" customFormat="1" x14ac:dyDescent="0.3">
      <c r="A144" s="7" t="s">
        <v>348</v>
      </c>
      <c r="B144" s="7" t="s">
        <v>70</v>
      </c>
      <c r="C144" s="7" t="s">
        <v>66</v>
      </c>
      <c r="D144" s="7">
        <v>2</v>
      </c>
      <c r="E144" s="21" t="s">
        <v>349</v>
      </c>
      <c r="F144" s="7">
        <v>482</v>
      </c>
      <c r="G144" s="7">
        <v>0.7</v>
      </c>
      <c r="H144" s="7" t="s">
        <v>68</v>
      </c>
      <c r="I144" s="7" t="s">
        <v>69</v>
      </c>
      <c r="J144" s="7" t="s">
        <v>73</v>
      </c>
      <c r="K144" s="7">
        <v>30</v>
      </c>
      <c r="L144" s="7" t="s">
        <v>73</v>
      </c>
      <c r="M144" s="7" t="s">
        <v>73</v>
      </c>
      <c r="N144" s="7" t="s">
        <v>73</v>
      </c>
      <c r="O144" s="7">
        <v>100</v>
      </c>
      <c r="P144" s="7" t="s">
        <v>73</v>
      </c>
      <c r="Q144" s="10"/>
      <c r="R144" s="10"/>
      <c r="S144" s="10"/>
      <c r="T144" s="10"/>
      <c r="U144" s="10"/>
      <c r="V144" s="10"/>
      <c r="W144" s="10"/>
      <c r="X144" s="10"/>
      <c r="Y144" s="10"/>
      <c r="Z144" s="10"/>
      <c r="AA144" s="10"/>
      <c r="AB144" s="10"/>
      <c r="AC144" s="10"/>
      <c r="AD144" s="10"/>
      <c r="AE144" s="10"/>
      <c r="AF144" s="10"/>
      <c r="AG144" s="11">
        <v>100</v>
      </c>
    </row>
    <row r="145" spans="1:35" s="11" customFormat="1" x14ac:dyDescent="0.3">
      <c r="A145" s="7" t="s">
        <v>350</v>
      </c>
      <c r="B145" s="7" t="s">
        <v>84</v>
      </c>
      <c r="C145" s="7" t="s">
        <v>66</v>
      </c>
      <c r="D145" s="7">
        <v>2</v>
      </c>
      <c r="E145" s="21" t="s">
        <v>351</v>
      </c>
      <c r="F145" s="7">
        <v>481</v>
      </c>
      <c r="G145" s="7">
        <v>1</v>
      </c>
      <c r="H145" s="7" t="s">
        <v>68</v>
      </c>
      <c r="I145" s="7" t="s">
        <v>80</v>
      </c>
      <c r="J145" s="7" t="s">
        <v>73</v>
      </c>
      <c r="K145" s="7">
        <v>60</v>
      </c>
      <c r="L145" s="7" t="s">
        <v>73</v>
      </c>
      <c r="M145" s="7" t="s">
        <v>73</v>
      </c>
      <c r="N145" s="7" t="s">
        <v>73</v>
      </c>
      <c r="O145" s="7">
        <v>100</v>
      </c>
      <c r="P145" s="7" t="s">
        <v>73</v>
      </c>
      <c r="Q145" s="10"/>
      <c r="R145" s="10"/>
      <c r="S145" s="10"/>
      <c r="T145" s="10"/>
      <c r="U145" s="10"/>
      <c r="V145" s="10"/>
      <c r="W145" s="10"/>
      <c r="X145" s="10"/>
      <c r="Y145" s="10"/>
      <c r="Z145" s="10"/>
      <c r="AA145" s="10"/>
      <c r="AB145" s="10"/>
      <c r="AC145" s="10"/>
      <c r="AD145" s="10"/>
      <c r="AE145" s="10"/>
      <c r="AF145" s="10"/>
      <c r="AG145" s="11">
        <v>100</v>
      </c>
    </row>
    <row r="146" spans="1:35" s="11" customFormat="1" ht="15" customHeight="1" x14ac:dyDescent="0.3">
      <c r="A146" s="6" t="s">
        <v>352</v>
      </c>
      <c r="B146" s="6" t="s">
        <v>65</v>
      </c>
      <c r="C146" s="10" t="s">
        <v>66</v>
      </c>
      <c r="D146" s="10">
        <v>2</v>
      </c>
      <c r="E146" s="22" t="s">
        <v>353</v>
      </c>
      <c r="F146" s="23">
        <v>200</v>
      </c>
      <c r="G146" s="24">
        <v>0.5</v>
      </c>
      <c r="H146" s="18" t="s">
        <v>68</v>
      </c>
      <c r="I146" s="18" t="s">
        <v>69</v>
      </c>
      <c r="J146" s="19">
        <v>5.0999999999999996</v>
      </c>
      <c r="K146" s="23">
        <v>30</v>
      </c>
      <c r="L146" s="19">
        <v>1.53</v>
      </c>
      <c r="M146" s="19">
        <v>5.0999999999999996</v>
      </c>
      <c r="N146" s="20">
        <v>2.7</v>
      </c>
      <c r="O146" s="10">
        <v>100</v>
      </c>
      <c r="P146" s="20">
        <v>2.7</v>
      </c>
      <c r="Q146" s="20">
        <v>0</v>
      </c>
      <c r="R146" s="19">
        <v>100</v>
      </c>
      <c r="S146" s="20">
        <v>0</v>
      </c>
      <c r="T146" s="10">
        <v>0</v>
      </c>
      <c r="U146" s="19">
        <v>100</v>
      </c>
      <c r="V146" s="20">
        <v>0</v>
      </c>
      <c r="W146" s="20">
        <v>0</v>
      </c>
      <c r="X146" s="19">
        <v>100</v>
      </c>
      <c r="Y146" s="20">
        <v>0</v>
      </c>
      <c r="Z146" s="20">
        <v>0</v>
      </c>
      <c r="AA146" s="19">
        <v>100</v>
      </c>
      <c r="AB146" s="20">
        <v>0</v>
      </c>
      <c r="AC146" s="20">
        <v>0</v>
      </c>
      <c r="AD146" s="19">
        <v>100</v>
      </c>
      <c r="AE146" s="20">
        <v>0</v>
      </c>
      <c r="AF146" s="10"/>
      <c r="AG146" s="11">
        <v>100</v>
      </c>
    </row>
    <row r="147" spans="1:35" s="11" customFormat="1" ht="15" customHeight="1" x14ac:dyDescent="0.3">
      <c r="A147" s="6" t="s">
        <v>354</v>
      </c>
      <c r="B147" s="16" t="s">
        <v>186</v>
      </c>
      <c r="C147" s="10" t="s">
        <v>66</v>
      </c>
      <c r="D147" s="10">
        <v>2</v>
      </c>
      <c r="E147" s="17" t="s">
        <v>355</v>
      </c>
      <c r="F147" s="16">
        <v>11</v>
      </c>
      <c r="G147" s="18">
        <v>1</v>
      </c>
      <c r="H147" s="18" t="s">
        <v>68</v>
      </c>
      <c r="I147" s="18" t="s">
        <v>80</v>
      </c>
      <c r="J147" s="19">
        <v>5.8</v>
      </c>
      <c r="K147" s="10">
        <v>60</v>
      </c>
      <c r="L147" s="19">
        <v>3.48</v>
      </c>
      <c r="M147" s="19">
        <v>5.8</v>
      </c>
      <c r="N147" s="20">
        <v>0.9</v>
      </c>
      <c r="O147" s="10">
        <v>100</v>
      </c>
      <c r="P147" s="20">
        <v>0.9</v>
      </c>
      <c r="Q147" s="20">
        <v>0</v>
      </c>
      <c r="R147" s="19">
        <v>100</v>
      </c>
      <c r="S147" s="20">
        <v>0</v>
      </c>
      <c r="T147" s="10">
        <v>0</v>
      </c>
      <c r="U147" s="19">
        <v>100</v>
      </c>
      <c r="V147" s="20">
        <v>0</v>
      </c>
      <c r="W147" s="20">
        <v>0</v>
      </c>
      <c r="X147" s="19">
        <v>100</v>
      </c>
      <c r="Y147" s="20">
        <v>0</v>
      </c>
      <c r="Z147" s="20">
        <v>0</v>
      </c>
      <c r="AA147" s="19">
        <v>100</v>
      </c>
      <c r="AB147" s="20">
        <v>0</v>
      </c>
      <c r="AC147" s="20">
        <v>0</v>
      </c>
      <c r="AD147" s="19">
        <v>100</v>
      </c>
      <c r="AE147" s="20">
        <v>0</v>
      </c>
      <c r="AF147" s="10"/>
      <c r="AG147" s="11">
        <v>100</v>
      </c>
    </row>
    <row r="148" spans="1:35" s="11" customFormat="1" ht="15" customHeight="1" x14ac:dyDescent="0.3">
      <c r="A148" s="6" t="s">
        <v>354</v>
      </c>
      <c r="B148" s="16" t="s">
        <v>78</v>
      </c>
      <c r="C148" s="10" t="s">
        <v>66</v>
      </c>
      <c r="D148" s="10">
        <v>2</v>
      </c>
      <c r="E148" s="17" t="s">
        <v>356</v>
      </c>
      <c r="F148" s="16">
        <v>12</v>
      </c>
      <c r="G148" s="18">
        <v>1</v>
      </c>
      <c r="H148" s="18" t="s">
        <v>68</v>
      </c>
      <c r="I148" s="18" t="s">
        <v>80</v>
      </c>
      <c r="J148" s="19">
        <v>6.4</v>
      </c>
      <c r="K148" s="10">
        <v>60</v>
      </c>
      <c r="L148" s="19">
        <v>3.84</v>
      </c>
      <c r="M148" s="19">
        <v>6.4</v>
      </c>
      <c r="N148" s="20">
        <v>3.5</v>
      </c>
      <c r="O148" s="10">
        <v>100</v>
      </c>
      <c r="P148" s="20">
        <v>3.5</v>
      </c>
      <c r="Q148" s="20">
        <v>4.4000000000000004</v>
      </c>
      <c r="R148" s="19">
        <v>90</v>
      </c>
      <c r="S148" s="20">
        <v>3.9600000000000004</v>
      </c>
      <c r="T148" s="10">
        <v>1.8</v>
      </c>
      <c r="U148" s="19">
        <v>90</v>
      </c>
      <c r="V148" s="20">
        <v>1.62</v>
      </c>
      <c r="W148" s="20">
        <v>3.2</v>
      </c>
      <c r="X148" s="19">
        <v>90</v>
      </c>
      <c r="Y148" s="20">
        <v>2.88</v>
      </c>
      <c r="Z148" s="20">
        <v>1.4</v>
      </c>
      <c r="AA148" s="19">
        <v>90</v>
      </c>
      <c r="AB148" s="20">
        <v>1.2599999999999998</v>
      </c>
      <c r="AC148" s="20">
        <v>0</v>
      </c>
      <c r="AD148" s="19">
        <v>100</v>
      </c>
      <c r="AE148" s="20">
        <v>0</v>
      </c>
      <c r="AF148" s="10">
        <v>10</v>
      </c>
      <c r="AG148" s="11">
        <v>100</v>
      </c>
    </row>
    <row r="149" spans="1:35" s="11" customFormat="1" ht="15" customHeight="1" x14ac:dyDescent="0.3">
      <c r="A149" s="6" t="s">
        <v>354</v>
      </c>
      <c r="B149" s="16" t="s">
        <v>65</v>
      </c>
      <c r="C149" s="10" t="s">
        <v>66</v>
      </c>
      <c r="D149" s="10">
        <v>1</v>
      </c>
      <c r="E149" s="17" t="s">
        <v>357</v>
      </c>
      <c r="F149" s="16">
        <v>13</v>
      </c>
      <c r="G149" s="18">
        <v>0.8</v>
      </c>
      <c r="H149" s="18" t="s">
        <v>68</v>
      </c>
      <c r="I149" s="18" t="s">
        <v>69</v>
      </c>
      <c r="J149" s="19">
        <v>7.5</v>
      </c>
      <c r="K149" s="10">
        <v>30</v>
      </c>
      <c r="L149" s="19">
        <v>2.25</v>
      </c>
      <c r="M149" s="19">
        <v>7.5</v>
      </c>
      <c r="N149" s="20">
        <v>9</v>
      </c>
      <c r="O149" s="10">
        <v>100</v>
      </c>
      <c r="P149" s="20">
        <v>9</v>
      </c>
      <c r="Q149" s="20">
        <v>0</v>
      </c>
      <c r="R149" s="19">
        <v>100</v>
      </c>
      <c r="S149" s="20">
        <v>0</v>
      </c>
      <c r="T149" s="10">
        <v>0</v>
      </c>
      <c r="U149" s="19">
        <v>100</v>
      </c>
      <c r="V149" s="20">
        <v>0</v>
      </c>
      <c r="W149" s="20">
        <v>0</v>
      </c>
      <c r="X149" s="19">
        <v>100</v>
      </c>
      <c r="Y149" s="20">
        <v>0</v>
      </c>
      <c r="Z149" s="20">
        <v>0</v>
      </c>
      <c r="AA149" s="19">
        <v>100</v>
      </c>
      <c r="AB149" s="20">
        <v>0</v>
      </c>
      <c r="AC149" s="20">
        <v>0</v>
      </c>
      <c r="AD149" s="19">
        <v>100</v>
      </c>
      <c r="AE149" s="20">
        <v>0</v>
      </c>
      <c r="AF149" s="10"/>
      <c r="AG149" s="11">
        <f>(20/30)*100</f>
        <v>66.666666666666657</v>
      </c>
      <c r="AH149" s="11">
        <f>(5/30)*100</f>
        <v>16.666666666666664</v>
      </c>
      <c r="AI149" s="11">
        <f>(5/30)*100</f>
        <v>16.666666666666664</v>
      </c>
    </row>
    <row r="150" spans="1:35" s="11" customFormat="1" x14ac:dyDescent="0.3">
      <c r="A150" s="7" t="s">
        <v>358</v>
      </c>
      <c r="B150" s="7" t="s">
        <v>167</v>
      </c>
      <c r="C150" s="7" t="s">
        <v>66</v>
      </c>
      <c r="D150" s="7">
        <v>2</v>
      </c>
      <c r="E150" s="21" t="s">
        <v>359</v>
      </c>
      <c r="F150" s="7">
        <v>45</v>
      </c>
      <c r="G150" s="7">
        <v>1</v>
      </c>
      <c r="H150" s="7" t="s">
        <v>68</v>
      </c>
      <c r="I150" s="7" t="s">
        <v>80</v>
      </c>
      <c r="J150" s="7" t="s">
        <v>73</v>
      </c>
      <c r="K150" s="7">
        <v>60</v>
      </c>
      <c r="L150" s="7" t="s">
        <v>73</v>
      </c>
      <c r="M150" s="7" t="s">
        <v>73</v>
      </c>
      <c r="N150" s="7" t="s">
        <v>73</v>
      </c>
      <c r="O150" s="7">
        <v>100</v>
      </c>
      <c r="P150" s="7" t="s">
        <v>73</v>
      </c>
      <c r="Q150" s="10"/>
      <c r="R150" s="10"/>
      <c r="S150" s="10"/>
      <c r="T150" s="10"/>
      <c r="U150" s="10"/>
      <c r="V150" s="10"/>
      <c r="W150" s="10"/>
      <c r="X150" s="10"/>
      <c r="Y150" s="10"/>
      <c r="Z150" s="10"/>
      <c r="AA150" s="10"/>
      <c r="AB150" s="10"/>
      <c r="AC150" s="10"/>
      <c r="AD150" s="10"/>
      <c r="AE150" s="10"/>
      <c r="AF150" s="10"/>
      <c r="AG150" s="11">
        <v>100</v>
      </c>
    </row>
    <row r="151" spans="1:35" s="11" customFormat="1" ht="15" customHeight="1" x14ac:dyDescent="0.3">
      <c r="A151" s="6" t="s">
        <v>360</v>
      </c>
      <c r="B151" s="16" t="s">
        <v>186</v>
      </c>
      <c r="C151" s="10" t="s">
        <v>66</v>
      </c>
      <c r="D151" s="10">
        <v>2</v>
      </c>
      <c r="E151" s="17" t="s">
        <v>361</v>
      </c>
      <c r="F151" s="16">
        <v>8</v>
      </c>
      <c r="G151" s="18">
        <v>1</v>
      </c>
      <c r="H151" s="18" t="s">
        <v>68</v>
      </c>
      <c r="I151" s="18" t="s">
        <v>80</v>
      </c>
      <c r="J151" s="19">
        <v>2</v>
      </c>
      <c r="K151" s="10">
        <v>60</v>
      </c>
      <c r="L151" s="19">
        <v>1.2</v>
      </c>
      <c r="M151" s="19">
        <v>2</v>
      </c>
      <c r="N151" s="20">
        <v>0.9</v>
      </c>
      <c r="O151" s="10">
        <v>100</v>
      </c>
      <c r="P151" s="20">
        <v>0.9</v>
      </c>
      <c r="Q151" s="20">
        <v>0</v>
      </c>
      <c r="R151" s="19">
        <v>100</v>
      </c>
      <c r="S151" s="20">
        <v>0</v>
      </c>
      <c r="T151" s="10">
        <v>0</v>
      </c>
      <c r="U151" s="19">
        <v>100</v>
      </c>
      <c r="V151" s="20">
        <v>0</v>
      </c>
      <c r="W151" s="20">
        <v>0</v>
      </c>
      <c r="X151" s="19">
        <v>100</v>
      </c>
      <c r="Y151" s="20">
        <v>0</v>
      </c>
      <c r="Z151" s="20">
        <v>0</v>
      </c>
      <c r="AA151" s="19">
        <v>100</v>
      </c>
      <c r="AB151" s="20">
        <v>0</v>
      </c>
      <c r="AC151" s="20">
        <v>0</v>
      </c>
      <c r="AD151" s="19">
        <v>100</v>
      </c>
      <c r="AE151" s="20">
        <v>0</v>
      </c>
      <c r="AF151" s="10"/>
      <c r="AG151" s="11">
        <v>100</v>
      </c>
    </row>
    <row r="152" spans="1:35" s="11" customFormat="1" ht="15" customHeight="1" x14ac:dyDescent="0.3">
      <c r="A152" s="6" t="s">
        <v>360</v>
      </c>
      <c r="B152" s="16" t="s">
        <v>78</v>
      </c>
      <c r="C152" s="10" t="s">
        <v>66</v>
      </c>
      <c r="D152" s="10">
        <v>2</v>
      </c>
      <c r="E152" s="17" t="s">
        <v>362</v>
      </c>
      <c r="F152" s="16">
        <v>9</v>
      </c>
      <c r="G152" s="18">
        <v>1</v>
      </c>
      <c r="H152" s="18" t="s">
        <v>68</v>
      </c>
      <c r="I152" s="18" t="s">
        <v>80</v>
      </c>
      <c r="J152" s="19">
        <v>3.2</v>
      </c>
      <c r="K152" s="10">
        <v>60</v>
      </c>
      <c r="L152" s="19">
        <v>1.92</v>
      </c>
      <c r="M152" s="19">
        <v>3.2</v>
      </c>
      <c r="N152" s="20">
        <v>1.4</v>
      </c>
      <c r="O152" s="10">
        <v>100</v>
      </c>
      <c r="P152" s="20">
        <v>1.4</v>
      </c>
      <c r="Q152" s="20">
        <v>2.2999999999999998</v>
      </c>
      <c r="R152" s="19">
        <v>90</v>
      </c>
      <c r="S152" s="20">
        <v>2.0699999999999998</v>
      </c>
      <c r="T152" s="10">
        <v>1</v>
      </c>
      <c r="U152" s="19">
        <v>90</v>
      </c>
      <c r="V152" s="20">
        <v>0.9</v>
      </c>
      <c r="W152" s="20">
        <v>2.1</v>
      </c>
      <c r="X152" s="19">
        <v>90</v>
      </c>
      <c r="Y152" s="20">
        <v>1.89</v>
      </c>
      <c r="Z152" s="20">
        <v>0.8</v>
      </c>
      <c r="AA152" s="19">
        <v>90</v>
      </c>
      <c r="AB152" s="20">
        <v>0.72</v>
      </c>
      <c r="AC152" s="20">
        <v>0</v>
      </c>
      <c r="AD152" s="19">
        <v>100</v>
      </c>
      <c r="AE152" s="20">
        <v>0</v>
      </c>
      <c r="AF152" s="10">
        <v>6</v>
      </c>
      <c r="AG152" s="11">
        <v>100</v>
      </c>
    </row>
    <row r="153" spans="1:35" s="11" customFormat="1" ht="15" customHeight="1" x14ac:dyDescent="0.3">
      <c r="A153" s="6" t="s">
        <v>360</v>
      </c>
      <c r="B153" s="25" t="s">
        <v>65</v>
      </c>
      <c r="C153" s="10" t="s">
        <v>66</v>
      </c>
      <c r="D153" s="10">
        <v>1</v>
      </c>
      <c r="E153" s="17" t="s">
        <v>363</v>
      </c>
      <c r="F153" s="16">
        <v>10</v>
      </c>
      <c r="G153" s="18">
        <v>0.8</v>
      </c>
      <c r="H153" s="18" t="s">
        <v>68</v>
      </c>
      <c r="I153" s="18" t="s">
        <v>69</v>
      </c>
      <c r="J153" s="19">
        <v>7.5</v>
      </c>
      <c r="K153" s="10">
        <v>30</v>
      </c>
      <c r="L153" s="19">
        <v>2.25</v>
      </c>
      <c r="M153" s="19">
        <v>7.5</v>
      </c>
      <c r="N153" s="20">
        <v>9</v>
      </c>
      <c r="O153" s="10">
        <v>100</v>
      </c>
      <c r="P153" s="20">
        <v>9</v>
      </c>
      <c r="Q153" s="20">
        <v>0</v>
      </c>
      <c r="R153" s="19">
        <v>100</v>
      </c>
      <c r="S153" s="20">
        <v>0</v>
      </c>
      <c r="T153" s="10">
        <v>0</v>
      </c>
      <c r="U153" s="19">
        <v>100</v>
      </c>
      <c r="V153" s="20">
        <v>0</v>
      </c>
      <c r="W153" s="20">
        <v>0</v>
      </c>
      <c r="X153" s="19">
        <v>100</v>
      </c>
      <c r="Y153" s="20">
        <v>0</v>
      </c>
      <c r="Z153" s="20">
        <v>0</v>
      </c>
      <c r="AA153" s="19">
        <v>100</v>
      </c>
      <c r="AB153" s="20">
        <v>0</v>
      </c>
      <c r="AC153" s="20">
        <v>0</v>
      </c>
      <c r="AD153" s="19">
        <v>100</v>
      </c>
      <c r="AE153" s="20">
        <v>0</v>
      </c>
      <c r="AF153" s="10"/>
      <c r="AG153" s="11">
        <f>(20/30)*100</f>
        <v>66.666666666666657</v>
      </c>
      <c r="AH153" s="11">
        <f>(5/30)*100</f>
        <v>16.666666666666664</v>
      </c>
      <c r="AI153" s="11">
        <f>(5/30)*100</f>
        <v>16.666666666666664</v>
      </c>
    </row>
    <row r="154" spans="1:35" s="11" customFormat="1" x14ac:dyDescent="0.3">
      <c r="A154" s="7" t="s">
        <v>364</v>
      </c>
      <c r="B154" s="7" t="s">
        <v>167</v>
      </c>
      <c r="C154" s="7" t="s">
        <v>66</v>
      </c>
      <c r="D154" s="7">
        <v>2</v>
      </c>
      <c r="E154" s="21" t="s">
        <v>365</v>
      </c>
      <c r="F154" s="7">
        <v>46</v>
      </c>
      <c r="G154" s="7">
        <v>1</v>
      </c>
      <c r="H154" s="7" t="s">
        <v>68</v>
      </c>
      <c r="I154" s="7" t="s">
        <v>80</v>
      </c>
      <c r="J154" s="7" t="s">
        <v>73</v>
      </c>
      <c r="K154" s="7">
        <v>60</v>
      </c>
      <c r="L154" s="7" t="s">
        <v>73</v>
      </c>
      <c r="M154" s="7" t="s">
        <v>73</v>
      </c>
      <c r="N154" s="7" t="s">
        <v>73</v>
      </c>
      <c r="O154" s="7">
        <v>100</v>
      </c>
      <c r="P154" s="7" t="s">
        <v>73</v>
      </c>
      <c r="Q154" s="10"/>
      <c r="R154" s="10"/>
      <c r="S154" s="10"/>
      <c r="T154" s="10"/>
      <c r="U154" s="10"/>
      <c r="V154" s="10"/>
      <c r="W154" s="10"/>
      <c r="X154" s="10"/>
      <c r="Y154" s="10"/>
      <c r="Z154" s="10"/>
      <c r="AA154" s="10"/>
      <c r="AB154" s="10"/>
      <c r="AC154" s="10"/>
      <c r="AD154" s="10"/>
      <c r="AE154" s="10"/>
      <c r="AF154" s="10"/>
      <c r="AG154" s="11">
        <v>100</v>
      </c>
    </row>
    <row r="155" spans="1:35" x14ac:dyDescent="0.3">
      <c r="A155" s="58"/>
      <c r="B155" s="59"/>
      <c r="C155" s="59" t="s">
        <v>370</v>
      </c>
      <c r="D155" s="59"/>
      <c r="E155" s="60" t="s">
        <v>372</v>
      </c>
      <c r="F155" s="59"/>
      <c r="G155" s="61"/>
      <c r="H155" s="62" t="s">
        <v>473</v>
      </c>
      <c r="I155" s="63" t="s">
        <v>474</v>
      </c>
      <c r="J155" s="64">
        <v>0.27</v>
      </c>
      <c r="K155" s="64">
        <v>100</v>
      </c>
      <c r="L155" s="65">
        <v>0.27</v>
      </c>
      <c r="M155" s="65" t="s">
        <v>145</v>
      </c>
      <c r="N155" s="64">
        <v>0</v>
      </c>
      <c r="O155" s="64">
        <v>100</v>
      </c>
      <c r="P155" s="66">
        <v>0</v>
      </c>
      <c r="Q155" s="21">
        <v>0</v>
      </c>
      <c r="R155" s="21">
        <v>100</v>
      </c>
      <c r="S155" s="21">
        <v>0</v>
      </c>
      <c r="T155" s="21">
        <v>0.04</v>
      </c>
      <c r="U155" s="21">
        <v>100</v>
      </c>
      <c r="V155" s="21">
        <v>0.04</v>
      </c>
      <c r="W155" s="21">
        <v>0</v>
      </c>
      <c r="X155" s="21">
        <v>100</v>
      </c>
      <c r="Y155" s="21">
        <v>0</v>
      </c>
      <c r="Z155" s="21">
        <v>0</v>
      </c>
      <c r="AA155" s="21">
        <v>100</v>
      </c>
      <c r="AB155" s="21">
        <v>0</v>
      </c>
      <c r="AC155" s="21">
        <v>0</v>
      </c>
      <c r="AD155" s="21">
        <v>100</v>
      </c>
      <c r="AE155" s="21">
        <v>0</v>
      </c>
      <c r="AG155" s="21">
        <v>100</v>
      </c>
    </row>
    <row r="156" spans="1:35" x14ac:dyDescent="0.3">
      <c r="A156" s="63" t="s">
        <v>475</v>
      </c>
      <c r="B156" s="65" t="s">
        <v>143</v>
      </c>
      <c r="C156" s="59" t="s">
        <v>370</v>
      </c>
      <c r="D156" s="63">
        <v>3</v>
      </c>
      <c r="E156" s="67" t="s">
        <v>374</v>
      </c>
      <c r="F156" s="65">
        <v>353</v>
      </c>
      <c r="G156" s="68"/>
      <c r="H156" s="62" t="s">
        <v>473</v>
      </c>
      <c r="I156" s="63" t="s">
        <v>474</v>
      </c>
      <c r="J156" s="69">
        <v>0.27</v>
      </c>
      <c r="K156" s="59">
        <v>100</v>
      </c>
      <c r="L156" s="65">
        <v>0.27</v>
      </c>
      <c r="M156" s="65" t="s">
        <v>145</v>
      </c>
      <c r="N156" s="59">
        <v>0</v>
      </c>
      <c r="O156" s="59">
        <v>100</v>
      </c>
      <c r="P156" s="66">
        <v>0</v>
      </c>
      <c r="Q156" s="21">
        <v>0</v>
      </c>
      <c r="R156" s="21">
        <v>100</v>
      </c>
      <c r="S156" s="21">
        <v>0</v>
      </c>
      <c r="T156" s="21">
        <v>0.04</v>
      </c>
      <c r="U156" s="21">
        <v>100</v>
      </c>
      <c r="V156" s="21">
        <v>0.04</v>
      </c>
      <c r="W156" s="21">
        <v>0.06</v>
      </c>
      <c r="X156" s="21">
        <v>100</v>
      </c>
      <c r="Y156" s="21">
        <v>0.06</v>
      </c>
      <c r="Z156" s="21">
        <v>0</v>
      </c>
      <c r="AA156" s="21">
        <v>100</v>
      </c>
      <c r="AB156" s="21">
        <v>0</v>
      </c>
      <c r="AC156" s="21">
        <v>0</v>
      </c>
      <c r="AD156" s="21">
        <v>100</v>
      </c>
      <c r="AE156" s="21">
        <v>0</v>
      </c>
      <c r="AG156" s="21">
        <v>100</v>
      </c>
    </row>
    <row r="157" spans="1:35" x14ac:dyDescent="0.3">
      <c r="A157" s="63" t="s">
        <v>476</v>
      </c>
      <c r="B157" s="65" t="s">
        <v>143</v>
      </c>
      <c r="C157" s="59" t="s">
        <v>370</v>
      </c>
      <c r="D157" s="63">
        <v>3</v>
      </c>
      <c r="E157" s="70" t="s">
        <v>477</v>
      </c>
      <c r="F157" s="65">
        <v>354</v>
      </c>
      <c r="G157" s="68"/>
      <c r="H157" s="62" t="s">
        <v>473</v>
      </c>
      <c r="I157" s="71" t="s">
        <v>474</v>
      </c>
      <c r="J157" s="65">
        <v>0.21</v>
      </c>
      <c r="K157" s="59">
        <v>100</v>
      </c>
      <c r="L157" s="65">
        <v>0.21</v>
      </c>
      <c r="M157" s="65" t="s">
        <v>145</v>
      </c>
      <c r="N157" s="59">
        <v>0</v>
      </c>
      <c r="O157" s="59">
        <v>100</v>
      </c>
      <c r="P157" s="66">
        <v>0</v>
      </c>
      <c r="Q157" s="21">
        <v>0</v>
      </c>
      <c r="R157" s="21">
        <v>100</v>
      </c>
      <c r="S157" s="21">
        <v>0</v>
      </c>
      <c r="T157" s="21">
        <v>0</v>
      </c>
      <c r="U157" s="21">
        <v>100</v>
      </c>
      <c r="V157" s="21">
        <v>0</v>
      </c>
      <c r="W157" s="21">
        <v>0</v>
      </c>
      <c r="X157" s="21">
        <v>100</v>
      </c>
      <c r="Y157" s="21">
        <v>0</v>
      </c>
      <c r="Z157" s="21">
        <v>0</v>
      </c>
      <c r="AA157" s="21">
        <v>100</v>
      </c>
      <c r="AB157" s="21">
        <v>0</v>
      </c>
      <c r="AC157" s="21">
        <v>0.6</v>
      </c>
      <c r="AD157" s="21">
        <v>100</v>
      </c>
      <c r="AE157" s="21">
        <v>0.6</v>
      </c>
      <c r="AG157" s="21">
        <v>100</v>
      </c>
    </row>
    <row r="158" spans="1:35" x14ac:dyDescent="0.3">
      <c r="A158" s="58"/>
      <c r="B158" s="59"/>
      <c r="C158" s="59" t="s">
        <v>370</v>
      </c>
      <c r="D158" s="59"/>
      <c r="E158" s="60" t="s">
        <v>376</v>
      </c>
      <c r="F158" s="59"/>
      <c r="G158" s="61"/>
      <c r="H158" s="62" t="s">
        <v>473</v>
      </c>
      <c r="I158" s="63" t="s">
        <v>474</v>
      </c>
      <c r="J158" s="64">
        <v>0.155</v>
      </c>
      <c r="K158" s="64">
        <v>100</v>
      </c>
      <c r="L158" s="65">
        <v>0.155</v>
      </c>
      <c r="M158" s="65" t="s">
        <v>145</v>
      </c>
      <c r="N158" s="64">
        <v>0</v>
      </c>
      <c r="O158" s="64">
        <v>100</v>
      </c>
      <c r="P158" s="66">
        <v>0</v>
      </c>
      <c r="Q158" s="21">
        <v>0</v>
      </c>
      <c r="R158" s="21">
        <v>100</v>
      </c>
      <c r="S158" s="21">
        <v>0</v>
      </c>
      <c r="T158" s="21">
        <v>0</v>
      </c>
      <c r="U158" s="21">
        <v>100</v>
      </c>
      <c r="V158" s="21">
        <v>0</v>
      </c>
      <c r="W158" s="21">
        <v>0.26500000000000001</v>
      </c>
      <c r="X158" s="21">
        <v>100</v>
      </c>
      <c r="Y158" s="21">
        <v>0.26500000000000001</v>
      </c>
      <c r="Z158" s="21">
        <v>0</v>
      </c>
      <c r="AA158" s="21">
        <v>100</v>
      </c>
      <c r="AB158" s="21">
        <v>0</v>
      </c>
      <c r="AC158" s="21">
        <v>0</v>
      </c>
      <c r="AD158" s="21">
        <v>100</v>
      </c>
      <c r="AE158" s="21">
        <v>0</v>
      </c>
      <c r="AG158" s="21">
        <v>100</v>
      </c>
    </row>
    <row r="159" spans="1:35" x14ac:dyDescent="0.3">
      <c r="A159" s="58"/>
      <c r="B159" s="59"/>
      <c r="C159" s="59" t="s">
        <v>370</v>
      </c>
      <c r="D159" s="59"/>
      <c r="E159" s="60" t="s">
        <v>378</v>
      </c>
      <c r="F159" s="59"/>
      <c r="G159" s="61"/>
      <c r="H159" s="62" t="s">
        <v>473</v>
      </c>
      <c r="I159" s="63" t="s">
        <v>474</v>
      </c>
      <c r="J159" s="64">
        <v>0.16</v>
      </c>
      <c r="K159" s="64">
        <v>100</v>
      </c>
      <c r="L159" s="65">
        <v>0.16</v>
      </c>
      <c r="M159" s="65" t="s">
        <v>145</v>
      </c>
      <c r="N159" s="64">
        <v>0</v>
      </c>
      <c r="O159" s="64">
        <v>100</v>
      </c>
      <c r="P159" s="66">
        <v>0</v>
      </c>
      <c r="Q159" s="21">
        <v>0</v>
      </c>
      <c r="R159" s="21">
        <v>100</v>
      </c>
      <c r="S159" s="21">
        <v>0</v>
      </c>
      <c r="T159" s="21">
        <v>0</v>
      </c>
      <c r="U159" s="21">
        <v>100</v>
      </c>
      <c r="V159" s="21">
        <v>0</v>
      </c>
      <c r="W159" s="21">
        <v>0</v>
      </c>
      <c r="X159" s="21">
        <v>100</v>
      </c>
      <c r="Y159" s="21">
        <v>0</v>
      </c>
      <c r="Z159" s="21">
        <v>0.35</v>
      </c>
      <c r="AA159" s="21">
        <v>100</v>
      </c>
      <c r="AB159" s="21">
        <v>0.35</v>
      </c>
      <c r="AC159" s="21">
        <v>0</v>
      </c>
      <c r="AD159" s="21">
        <v>100</v>
      </c>
      <c r="AE159" s="21">
        <v>0</v>
      </c>
      <c r="AG159" s="21">
        <v>100</v>
      </c>
    </row>
    <row r="160" spans="1:35" x14ac:dyDescent="0.3">
      <c r="A160" s="58"/>
      <c r="B160" s="59"/>
      <c r="C160" s="59" t="s">
        <v>370</v>
      </c>
      <c r="D160" s="59"/>
      <c r="E160" s="60" t="s">
        <v>380</v>
      </c>
      <c r="F160" s="59"/>
      <c r="G160" s="61"/>
      <c r="H160" s="62" t="s">
        <v>473</v>
      </c>
      <c r="I160" s="63" t="s">
        <v>474</v>
      </c>
      <c r="J160" s="64">
        <v>0</v>
      </c>
      <c r="K160" s="64">
        <v>100</v>
      </c>
      <c r="L160" s="65">
        <v>0</v>
      </c>
      <c r="M160" s="65" t="s">
        <v>145</v>
      </c>
      <c r="N160" s="64">
        <v>0</v>
      </c>
      <c r="O160" s="64">
        <v>100</v>
      </c>
      <c r="P160" s="66">
        <v>0</v>
      </c>
      <c r="Q160" s="21">
        <v>0.4</v>
      </c>
      <c r="R160" s="21">
        <v>100</v>
      </c>
      <c r="S160" s="21">
        <v>0.4</v>
      </c>
      <c r="T160" s="21">
        <v>0</v>
      </c>
      <c r="U160" s="21">
        <v>100</v>
      </c>
      <c r="V160" s="21">
        <v>0</v>
      </c>
      <c r="W160" s="21">
        <v>0</v>
      </c>
      <c r="X160" s="21">
        <v>100</v>
      </c>
      <c r="Y160" s="21">
        <v>0</v>
      </c>
      <c r="Z160" s="21">
        <v>0.15</v>
      </c>
      <c r="AA160" s="21">
        <v>100</v>
      </c>
      <c r="AB160" s="21">
        <v>0.15</v>
      </c>
      <c r="AC160" s="21">
        <v>0</v>
      </c>
      <c r="AD160" s="21">
        <v>100</v>
      </c>
      <c r="AE160" s="21">
        <v>0</v>
      </c>
      <c r="AG160" s="21">
        <v>100</v>
      </c>
    </row>
    <row r="161" spans="1:33" x14ac:dyDescent="0.3">
      <c r="A161" s="58"/>
      <c r="B161" s="59"/>
      <c r="C161" s="59" t="s">
        <v>370</v>
      </c>
      <c r="D161" s="59"/>
      <c r="E161" s="60" t="s">
        <v>381</v>
      </c>
      <c r="F161" s="59"/>
      <c r="G161" s="61"/>
      <c r="H161" s="62" t="s">
        <v>473</v>
      </c>
      <c r="I161" s="63" t="s">
        <v>474</v>
      </c>
      <c r="J161" s="64">
        <v>0</v>
      </c>
      <c r="K161" s="64">
        <v>100</v>
      </c>
      <c r="L161" s="65">
        <v>0</v>
      </c>
      <c r="M161" s="65" t="s">
        <v>145</v>
      </c>
      <c r="N161" s="64">
        <v>0</v>
      </c>
      <c r="O161" s="64">
        <v>100</v>
      </c>
      <c r="P161" s="66">
        <v>0</v>
      </c>
      <c r="Q161" s="21">
        <v>0.4</v>
      </c>
      <c r="R161" s="21">
        <v>100</v>
      </c>
      <c r="S161" s="21">
        <v>0.4</v>
      </c>
      <c r="T161" s="21">
        <v>0.06</v>
      </c>
      <c r="U161" s="21">
        <v>100</v>
      </c>
      <c r="V161" s="21">
        <v>0.06</v>
      </c>
      <c r="W161" s="21">
        <v>0</v>
      </c>
      <c r="X161" s="21">
        <v>100</v>
      </c>
      <c r="Y161" s="21">
        <v>0</v>
      </c>
      <c r="Z161" s="21">
        <v>0.04</v>
      </c>
      <c r="AA161" s="21">
        <v>100</v>
      </c>
      <c r="AB161" s="21">
        <v>0.04</v>
      </c>
      <c r="AC161" s="21">
        <v>0.12</v>
      </c>
      <c r="AD161" s="21">
        <v>100</v>
      </c>
      <c r="AE161" s="21">
        <v>0.12</v>
      </c>
      <c r="AG161" s="21">
        <v>100</v>
      </c>
    </row>
    <row r="162" spans="1:33" x14ac:dyDescent="0.3">
      <c r="A162" s="58"/>
      <c r="B162" s="59"/>
      <c r="C162" s="59" t="s">
        <v>370</v>
      </c>
      <c r="D162" s="59"/>
      <c r="E162" s="60" t="s">
        <v>382</v>
      </c>
      <c r="F162" s="59"/>
      <c r="G162" s="61"/>
      <c r="H162" s="62" t="s">
        <v>473</v>
      </c>
      <c r="I162" s="63" t="s">
        <v>474</v>
      </c>
      <c r="J162" s="64">
        <v>0</v>
      </c>
      <c r="K162" s="64">
        <v>100</v>
      </c>
      <c r="L162" s="65">
        <v>0</v>
      </c>
      <c r="M162" s="65" t="s">
        <v>145</v>
      </c>
      <c r="N162" s="64">
        <v>0</v>
      </c>
      <c r="O162" s="64">
        <v>100</v>
      </c>
      <c r="P162" s="66">
        <v>0</v>
      </c>
      <c r="Q162" s="21">
        <v>0.6</v>
      </c>
      <c r="R162" s="21">
        <v>100</v>
      </c>
      <c r="S162" s="21">
        <v>0.6</v>
      </c>
      <c r="T162" s="21">
        <v>0</v>
      </c>
      <c r="U162" s="21">
        <v>100</v>
      </c>
      <c r="V162" s="21">
        <v>0</v>
      </c>
      <c r="W162" s="21">
        <v>0</v>
      </c>
      <c r="X162" s="21">
        <v>100</v>
      </c>
      <c r="Y162" s="21">
        <v>0</v>
      </c>
      <c r="Z162" s="21">
        <v>0.01</v>
      </c>
      <c r="AA162" s="21">
        <v>100</v>
      </c>
      <c r="AB162" s="21">
        <v>0.01</v>
      </c>
      <c r="AC162" s="21">
        <v>0</v>
      </c>
      <c r="AD162" s="21">
        <v>100</v>
      </c>
      <c r="AE162" s="21">
        <v>0</v>
      </c>
      <c r="AG162" s="21">
        <v>100</v>
      </c>
    </row>
    <row r="163" spans="1:33" x14ac:dyDescent="0.3">
      <c r="A163" s="58"/>
      <c r="B163" s="59"/>
      <c r="C163" s="59" t="s">
        <v>370</v>
      </c>
      <c r="D163" s="59"/>
      <c r="E163" s="60" t="s">
        <v>383</v>
      </c>
      <c r="F163" s="59"/>
      <c r="G163" s="61"/>
      <c r="H163" s="62" t="s">
        <v>473</v>
      </c>
      <c r="I163" s="63" t="s">
        <v>474</v>
      </c>
      <c r="J163" s="64">
        <v>0.18</v>
      </c>
      <c r="K163" s="64">
        <v>100</v>
      </c>
      <c r="L163" s="65">
        <v>0.18</v>
      </c>
      <c r="M163" s="65" t="s">
        <v>145</v>
      </c>
      <c r="N163" s="64">
        <v>0.46</v>
      </c>
      <c r="O163" s="64">
        <v>100</v>
      </c>
      <c r="P163" s="65">
        <v>0.46</v>
      </c>
      <c r="Q163" s="21">
        <v>0</v>
      </c>
      <c r="R163" s="21">
        <v>100</v>
      </c>
      <c r="S163" s="21">
        <v>0</v>
      </c>
      <c r="T163" s="21">
        <v>0</v>
      </c>
      <c r="U163" s="21">
        <v>100</v>
      </c>
      <c r="V163" s="21">
        <v>0</v>
      </c>
      <c r="W163" s="21">
        <v>0</v>
      </c>
      <c r="X163" s="21">
        <v>100</v>
      </c>
      <c r="Y163" s="21">
        <v>0</v>
      </c>
      <c r="Z163" s="21">
        <v>0</v>
      </c>
      <c r="AA163" s="21">
        <v>100</v>
      </c>
      <c r="AB163" s="21">
        <v>0</v>
      </c>
      <c r="AC163" s="21">
        <v>0.04</v>
      </c>
      <c r="AD163" s="21">
        <v>100</v>
      </c>
      <c r="AE163" s="21">
        <v>0.04</v>
      </c>
      <c r="AG163" s="21">
        <v>100</v>
      </c>
    </row>
    <row r="164" spans="1:33" ht="31.2" x14ac:dyDescent="0.3">
      <c r="A164" s="58"/>
      <c r="B164" s="59"/>
      <c r="C164" s="59" t="s">
        <v>370</v>
      </c>
      <c r="D164" s="59"/>
      <c r="E164" s="72" t="s">
        <v>484</v>
      </c>
      <c r="F164" s="59"/>
      <c r="G164" s="61"/>
      <c r="H164" s="62" t="s">
        <v>473</v>
      </c>
      <c r="I164" s="62" t="s">
        <v>474</v>
      </c>
      <c r="J164" s="64">
        <v>0</v>
      </c>
      <c r="K164" s="64">
        <v>100</v>
      </c>
      <c r="L164" s="65">
        <v>0</v>
      </c>
      <c r="M164" s="65" t="s">
        <v>145</v>
      </c>
      <c r="N164" s="59">
        <v>0</v>
      </c>
      <c r="O164" s="59">
        <v>100</v>
      </c>
      <c r="P164" s="59">
        <v>0</v>
      </c>
      <c r="Q164" s="21">
        <v>0.25</v>
      </c>
      <c r="R164" s="21">
        <v>100</v>
      </c>
      <c r="S164" s="21">
        <v>0.25</v>
      </c>
      <c r="T164" s="21">
        <v>0</v>
      </c>
      <c r="U164" s="21">
        <v>100</v>
      </c>
      <c r="V164" s="21">
        <v>0</v>
      </c>
      <c r="W164" s="21">
        <v>0.1</v>
      </c>
      <c r="X164" s="21">
        <v>100</v>
      </c>
      <c r="Y164" s="21">
        <v>0.1</v>
      </c>
      <c r="Z164" s="21">
        <v>0</v>
      </c>
      <c r="AA164" s="21">
        <v>100</v>
      </c>
      <c r="AB164" s="21">
        <v>0</v>
      </c>
      <c r="AC164" s="21">
        <v>0.3</v>
      </c>
      <c r="AD164" s="21">
        <v>100</v>
      </c>
      <c r="AE164" s="21">
        <v>0.3</v>
      </c>
      <c r="AG164" s="21">
        <v>100</v>
      </c>
    </row>
    <row r="165" spans="1:33" ht="45.6" x14ac:dyDescent="0.3">
      <c r="A165" s="58"/>
      <c r="B165" s="59"/>
      <c r="C165" s="59" t="s">
        <v>370</v>
      </c>
      <c r="D165" s="59"/>
      <c r="E165" s="72" t="s">
        <v>485</v>
      </c>
      <c r="F165" s="59"/>
      <c r="G165" s="61"/>
      <c r="H165" s="62" t="s">
        <v>473</v>
      </c>
      <c r="I165" s="62" t="s">
        <v>474</v>
      </c>
      <c r="J165" s="64">
        <v>0</v>
      </c>
      <c r="K165" s="64">
        <v>100</v>
      </c>
      <c r="L165" s="65">
        <v>0</v>
      </c>
      <c r="M165" s="65" t="s">
        <v>145</v>
      </c>
      <c r="N165" s="59">
        <v>0</v>
      </c>
      <c r="O165" s="59">
        <v>100</v>
      </c>
      <c r="P165" s="59">
        <v>0</v>
      </c>
      <c r="Q165" s="21">
        <v>0.15</v>
      </c>
      <c r="R165" s="21">
        <v>100</v>
      </c>
      <c r="S165" s="21">
        <v>0.15</v>
      </c>
      <c r="T165" s="21">
        <v>0.05</v>
      </c>
      <c r="U165" s="21">
        <v>100</v>
      </c>
      <c r="V165" s="21">
        <v>0.05</v>
      </c>
      <c r="W165" s="21">
        <v>0.15</v>
      </c>
      <c r="X165" s="21">
        <v>100</v>
      </c>
      <c r="Y165" s="21">
        <v>0.15</v>
      </c>
      <c r="Z165" s="21">
        <v>0</v>
      </c>
      <c r="AA165" s="21">
        <v>100</v>
      </c>
      <c r="AB165" s="21">
        <v>0</v>
      </c>
      <c r="AC165" s="21">
        <v>0.45</v>
      </c>
      <c r="AD165" s="21">
        <v>100</v>
      </c>
      <c r="AE165" s="21">
        <v>0.45</v>
      </c>
      <c r="AG165" s="21">
        <v>100</v>
      </c>
    </row>
    <row r="166" spans="1:33" ht="45.6" x14ac:dyDescent="0.3">
      <c r="A166" s="58"/>
      <c r="B166" s="59"/>
      <c r="C166" s="59" t="s">
        <v>370</v>
      </c>
      <c r="D166" s="59"/>
      <c r="E166" s="72" t="s">
        <v>486</v>
      </c>
      <c r="F166" s="59"/>
      <c r="G166" s="61"/>
      <c r="H166" s="62" t="s">
        <v>473</v>
      </c>
      <c r="I166" s="62" t="s">
        <v>474</v>
      </c>
      <c r="J166" s="64">
        <v>0.05</v>
      </c>
      <c r="K166" s="64">
        <v>100</v>
      </c>
      <c r="L166" s="65">
        <v>0.05</v>
      </c>
      <c r="M166" s="65">
        <v>0</v>
      </c>
      <c r="N166" s="59">
        <v>0</v>
      </c>
      <c r="O166" s="59">
        <v>100</v>
      </c>
      <c r="P166" s="59">
        <v>0</v>
      </c>
      <c r="Q166" s="21">
        <v>0.18</v>
      </c>
      <c r="R166" s="21">
        <v>100</v>
      </c>
      <c r="S166" s="21">
        <v>0.18</v>
      </c>
      <c r="T166" s="21">
        <v>0</v>
      </c>
      <c r="U166" s="21">
        <v>100</v>
      </c>
      <c r="V166" s="21">
        <v>0</v>
      </c>
      <c r="W166" s="21">
        <v>0.05</v>
      </c>
      <c r="X166" s="21">
        <v>100</v>
      </c>
      <c r="Y166" s="21">
        <v>0.05</v>
      </c>
      <c r="Z166" s="21">
        <v>0.04</v>
      </c>
      <c r="AA166" s="21">
        <v>100</v>
      </c>
      <c r="AB166" s="21">
        <v>0.04</v>
      </c>
      <c r="AC166" s="21">
        <v>0.35</v>
      </c>
      <c r="AD166" s="21">
        <v>100</v>
      </c>
      <c r="AE166" s="21">
        <v>0.35</v>
      </c>
      <c r="AG166" s="21">
        <v>100</v>
      </c>
    </row>
    <row r="167" spans="1:33" x14ac:dyDescent="0.3">
      <c r="A167" s="58"/>
      <c r="B167" s="59"/>
      <c r="C167" s="59" t="s">
        <v>370</v>
      </c>
      <c r="D167" s="59"/>
      <c r="E167" s="60" t="s">
        <v>384</v>
      </c>
      <c r="F167" s="59"/>
      <c r="G167" s="61"/>
      <c r="H167" s="62" t="s">
        <v>473</v>
      </c>
      <c r="I167" s="63" t="s">
        <v>474</v>
      </c>
      <c r="J167" s="64">
        <v>0.13</v>
      </c>
      <c r="K167" s="64">
        <v>100</v>
      </c>
      <c r="L167" s="65">
        <v>0.13</v>
      </c>
      <c r="M167" s="65" t="s">
        <v>145</v>
      </c>
      <c r="N167" s="64">
        <v>0</v>
      </c>
      <c r="O167" s="64">
        <v>100</v>
      </c>
      <c r="P167" s="66">
        <v>0</v>
      </c>
      <c r="Q167" s="21">
        <v>0.45</v>
      </c>
      <c r="R167" s="21">
        <v>100</v>
      </c>
      <c r="S167" s="21">
        <v>0.45</v>
      </c>
      <c r="T167" s="21">
        <v>0</v>
      </c>
      <c r="U167" s="21">
        <v>100</v>
      </c>
      <c r="V167" s="21">
        <v>0</v>
      </c>
      <c r="W167" s="21">
        <v>0</v>
      </c>
      <c r="X167" s="21">
        <v>100</v>
      </c>
      <c r="Y167" s="21">
        <v>0</v>
      </c>
      <c r="Z167" s="21">
        <v>0</v>
      </c>
      <c r="AA167" s="21">
        <v>100</v>
      </c>
      <c r="AB167" s="21">
        <v>0</v>
      </c>
      <c r="AC167" s="21">
        <v>0</v>
      </c>
      <c r="AD167" s="21">
        <v>100</v>
      </c>
      <c r="AE167" s="21">
        <v>0</v>
      </c>
      <c r="AG167" s="21">
        <v>100</v>
      </c>
    </row>
    <row r="168" spans="1:33" x14ac:dyDescent="0.3">
      <c r="A168" s="58"/>
      <c r="B168" s="59"/>
      <c r="C168" s="59" t="s">
        <v>370</v>
      </c>
      <c r="D168" s="59"/>
      <c r="E168" s="60" t="s">
        <v>385</v>
      </c>
      <c r="F168" s="59"/>
      <c r="G168" s="61"/>
      <c r="H168" s="62" t="s">
        <v>473</v>
      </c>
      <c r="I168" s="63" t="s">
        <v>474</v>
      </c>
      <c r="J168" s="64">
        <v>0</v>
      </c>
      <c r="K168" s="64">
        <v>100</v>
      </c>
      <c r="L168" s="65">
        <v>0</v>
      </c>
      <c r="M168" s="65" t="s">
        <v>145</v>
      </c>
      <c r="N168" s="64">
        <v>0</v>
      </c>
      <c r="O168" s="64">
        <v>100</v>
      </c>
      <c r="P168" s="66">
        <v>0</v>
      </c>
      <c r="Q168" s="21">
        <v>0.5</v>
      </c>
      <c r="R168" s="21">
        <v>100</v>
      </c>
      <c r="S168" s="21">
        <v>0.5</v>
      </c>
      <c r="T168" s="21">
        <v>0</v>
      </c>
      <c r="U168" s="21">
        <v>100</v>
      </c>
      <c r="V168" s="21">
        <v>0</v>
      </c>
      <c r="W168" s="21">
        <v>0</v>
      </c>
      <c r="X168" s="21">
        <v>100</v>
      </c>
      <c r="Y168" s="21">
        <v>0</v>
      </c>
      <c r="Z168" s="21">
        <v>0</v>
      </c>
      <c r="AA168" s="21">
        <v>100</v>
      </c>
      <c r="AB168" s="21">
        <v>0</v>
      </c>
      <c r="AC168" s="21">
        <v>0.45</v>
      </c>
      <c r="AD168" s="21">
        <v>100</v>
      </c>
      <c r="AE168" s="21">
        <v>0.45</v>
      </c>
      <c r="AG168" s="21">
        <v>100</v>
      </c>
    </row>
    <row r="169" spans="1:33" x14ac:dyDescent="0.3">
      <c r="A169" s="63" t="s">
        <v>478</v>
      </c>
      <c r="B169" s="65" t="s">
        <v>143</v>
      </c>
      <c r="C169" s="59" t="s">
        <v>370</v>
      </c>
      <c r="D169" s="63">
        <v>3</v>
      </c>
      <c r="E169" s="70" t="s">
        <v>386</v>
      </c>
      <c r="F169" s="65">
        <v>357</v>
      </c>
      <c r="G169" s="68"/>
      <c r="H169" s="62" t="s">
        <v>473</v>
      </c>
      <c r="I169" s="71" t="s">
        <v>474</v>
      </c>
      <c r="J169" s="65">
        <v>0.19800000000000001</v>
      </c>
      <c r="K169" s="59">
        <v>100</v>
      </c>
      <c r="L169" s="65">
        <v>0.19800000000000001</v>
      </c>
      <c r="M169" s="65" t="s">
        <v>145</v>
      </c>
      <c r="N169" s="59">
        <v>0</v>
      </c>
      <c r="O169" s="59">
        <v>100</v>
      </c>
      <c r="P169" s="66">
        <v>0</v>
      </c>
      <c r="Q169" s="21">
        <v>0</v>
      </c>
      <c r="R169" s="21">
        <v>100</v>
      </c>
      <c r="S169" s="21">
        <v>0</v>
      </c>
      <c r="T169" s="21">
        <v>0</v>
      </c>
      <c r="U169" s="21">
        <v>100</v>
      </c>
      <c r="V169" s="21">
        <v>0</v>
      </c>
      <c r="W169" s="21">
        <v>0.5</v>
      </c>
      <c r="X169" s="21">
        <v>100</v>
      </c>
      <c r="Y169" s="21">
        <v>0.5</v>
      </c>
      <c r="Z169" s="21">
        <v>0</v>
      </c>
      <c r="AA169" s="21">
        <v>100</v>
      </c>
      <c r="AB169" s="21">
        <v>0</v>
      </c>
      <c r="AC169" s="21">
        <v>0</v>
      </c>
      <c r="AD169" s="21">
        <v>100</v>
      </c>
      <c r="AE169" s="21">
        <v>0</v>
      </c>
      <c r="AG169" s="21">
        <v>100</v>
      </c>
    </row>
    <row r="170" spans="1:33" x14ac:dyDescent="0.3">
      <c r="A170" s="58"/>
      <c r="B170" s="59"/>
      <c r="C170" s="59" t="s">
        <v>370</v>
      </c>
      <c r="D170" s="59"/>
      <c r="E170" s="60" t="s">
        <v>387</v>
      </c>
      <c r="F170" s="59"/>
      <c r="G170" s="61"/>
      <c r="H170" s="62" t="s">
        <v>473</v>
      </c>
      <c r="I170" s="63" t="s">
        <v>474</v>
      </c>
      <c r="J170" s="64">
        <v>0</v>
      </c>
      <c r="K170" s="64">
        <v>100</v>
      </c>
      <c r="L170" s="65">
        <v>0</v>
      </c>
      <c r="M170" s="65" t="s">
        <v>145</v>
      </c>
      <c r="N170" s="64">
        <v>0</v>
      </c>
      <c r="O170" s="64">
        <v>100</v>
      </c>
      <c r="P170" s="66">
        <v>0</v>
      </c>
      <c r="Q170" s="21">
        <v>0</v>
      </c>
      <c r="R170" s="21">
        <v>100</v>
      </c>
      <c r="S170" s="21">
        <v>0</v>
      </c>
      <c r="T170" s="21">
        <v>0.25</v>
      </c>
      <c r="U170" s="21">
        <v>100</v>
      </c>
      <c r="V170" s="21">
        <v>0.25</v>
      </c>
      <c r="W170" s="21">
        <v>0</v>
      </c>
      <c r="X170" s="21">
        <v>100</v>
      </c>
      <c r="Y170" s="21">
        <v>0</v>
      </c>
      <c r="Z170" s="21">
        <v>0</v>
      </c>
      <c r="AA170" s="21">
        <v>100</v>
      </c>
      <c r="AB170" s="21">
        <v>0</v>
      </c>
      <c r="AC170" s="21">
        <v>0.5</v>
      </c>
      <c r="AD170" s="21">
        <v>100</v>
      </c>
      <c r="AE170" s="21">
        <v>0.5</v>
      </c>
      <c r="AG170" s="21">
        <v>100</v>
      </c>
    </row>
    <row r="171" spans="1:33" x14ac:dyDescent="0.3">
      <c r="A171" s="58"/>
      <c r="B171" s="59"/>
      <c r="C171" s="59" t="s">
        <v>370</v>
      </c>
      <c r="D171" s="59"/>
      <c r="E171" s="60" t="s">
        <v>388</v>
      </c>
      <c r="F171" s="59"/>
      <c r="G171" s="61"/>
      <c r="H171" s="62" t="s">
        <v>473</v>
      </c>
      <c r="I171" s="63" t="s">
        <v>474</v>
      </c>
      <c r="J171" s="64">
        <v>0</v>
      </c>
      <c r="K171" s="64">
        <v>100</v>
      </c>
      <c r="L171" s="65">
        <v>0</v>
      </c>
      <c r="M171" s="65" t="s">
        <v>145</v>
      </c>
      <c r="N171" s="64">
        <v>0</v>
      </c>
      <c r="O171" s="64">
        <v>100</v>
      </c>
      <c r="P171" s="66">
        <v>0</v>
      </c>
      <c r="Q171" s="21">
        <v>0</v>
      </c>
      <c r="R171" s="21">
        <v>100</v>
      </c>
      <c r="S171" s="21">
        <v>0</v>
      </c>
      <c r="T171" s="21">
        <v>0</v>
      </c>
      <c r="U171" s="21">
        <v>100</v>
      </c>
      <c r="V171" s="21">
        <v>0</v>
      </c>
      <c r="W171" s="21">
        <v>0</v>
      </c>
      <c r="X171" s="21">
        <v>100</v>
      </c>
      <c r="Y171" s="21">
        <v>0</v>
      </c>
      <c r="Z171" s="21">
        <v>0.5</v>
      </c>
      <c r="AA171" s="21">
        <v>100</v>
      </c>
      <c r="AB171" s="21">
        <v>0.5</v>
      </c>
      <c r="AC171" s="21">
        <v>0</v>
      </c>
      <c r="AD171" s="21">
        <v>100</v>
      </c>
      <c r="AE171" s="21">
        <v>0</v>
      </c>
      <c r="AG171" s="21">
        <v>100</v>
      </c>
    </row>
    <row r="172" spans="1:33" x14ac:dyDescent="0.3">
      <c r="A172" s="58"/>
      <c r="B172" s="59"/>
      <c r="C172" s="59" t="s">
        <v>370</v>
      </c>
      <c r="D172" s="59"/>
      <c r="E172" s="60" t="s">
        <v>389</v>
      </c>
      <c r="F172" s="59"/>
      <c r="G172" s="61"/>
      <c r="H172" s="62" t="s">
        <v>473</v>
      </c>
      <c r="I172" s="63" t="s">
        <v>474</v>
      </c>
      <c r="J172" s="64">
        <v>0</v>
      </c>
      <c r="K172" s="64">
        <v>100</v>
      </c>
      <c r="L172" s="65">
        <v>0</v>
      </c>
      <c r="M172" s="65" t="s">
        <v>145</v>
      </c>
      <c r="N172" s="64">
        <v>0</v>
      </c>
      <c r="O172" s="64">
        <v>100</v>
      </c>
      <c r="P172" s="66">
        <v>0</v>
      </c>
      <c r="Q172" s="21">
        <v>0</v>
      </c>
      <c r="R172" s="21">
        <v>100</v>
      </c>
      <c r="S172" s="21">
        <v>0</v>
      </c>
      <c r="T172" s="21">
        <v>0.9</v>
      </c>
      <c r="U172" s="21">
        <v>100</v>
      </c>
      <c r="V172" s="21">
        <v>0.9</v>
      </c>
      <c r="W172" s="21">
        <v>0</v>
      </c>
      <c r="X172" s="21">
        <v>100</v>
      </c>
      <c r="Y172" s="21">
        <v>0</v>
      </c>
      <c r="Z172" s="21">
        <v>0</v>
      </c>
      <c r="AA172" s="21">
        <v>100</v>
      </c>
      <c r="AB172" s="21">
        <v>0</v>
      </c>
      <c r="AC172" s="21">
        <v>0</v>
      </c>
      <c r="AD172" s="21">
        <v>100</v>
      </c>
      <c r="AE172" s="21">
        <v>0</v>
      </c>
      <c r="AG172" s="21">
        <v>100</v>
      </c>
    </row>
    <row r="173" spans="1:33" x14ac:dyDescent="0.3">
      <c r="A173" s="58"/>
      <c r="B173" s="59"/>
      <c r="C173" s="59" t="s">
        <v>370</v>
      </c>
      <c r="D173" s="59"/>
      <c r="E173" s="60" t="s">
        <v>390</v>
      </c>
      <c r="F173" s="59"/>
      <c r="G173" s="61"/>
      <c r="H173" s="62" t="s">
        <v>473</v>
      </c>
      <c r="I173" s="63" t="s">
        <v>474</v>
      </c>
      <c r="J173" s="64">
        <v>0</v>
      </c>
      <c r="K173" s="64">
        <v>100</v>
      </c>
      <c r="L173" s="65">
        <v>0</v>
      </c>
      <c r="M173" s="65" t="s">
        <v>145</v>
      </c>
      <c r="N173" s="64">
        <v>0</v>
      </c>
      <c r="O173" s="64">
        <v>100</v>
      </c>
      <c r="P173" s="66">
        <v>0</v>
      </c>
      <c r="Q173" s="21">
        <v>0.11</v>
      </c>
      <c r="R173" s="21">
        <v>100</v>
      </c>
      <c r="S173" s="21">
        <v>0.11</v>
      </c>
      <c r="T173" s="21">
        <v>0.05</v>
      </c>
      <c r="U173" s="21">
        <v>100</v>
      </c>
      <c r="V173" s="21">
        <v>0.05</v>
      </c>
      <c r="W173" s="21">
        <v>0</v>
      </c>
      <c r="X173" s="21">
        <v>100</v>
      </c>
      <c r="Y173" s="21">
        <v>0</v>
      </c>
      <c r="Z173" s="21">
        <v>0.27</v>
      </c>
      <c r="AA173" s="21">
        <v>100</v>
      </c>
      <c r="AB173" s="21">
        <v>0.27</v>
      </c>
      <c r="AC173" s="21">
        <v>0.1</v>
      </c>
      <c r="AD173" s="21">
        <v>100</v>
      </c>
      <c r="AE173" s="21">
        <v>0.1</v>
      </c>
      <c r="AG173" s="21">
        <v>100</v>
      </c>
    </row>
    <row r="174" spans="1:33" x14ac:dyDescent="0.3">
      <c r="A174" s="58"/>
      <c r="B174" s="59"/>
      <c r="C174" s="59" t="s">
        <v>370</v>
      </c>
      <c r="D174" s="59"/>
      <c r="E174" s="60" t="s">
        <v>391</v>
      </c>
      <c r="F174" s="59"/>
      <c r="G174" s="61"/>
      <c r="H174" s="62" t="s">
        <v>473</v>
      </c>
      <c r="I174" s="63" t="s">
        <v>474</v>
      </c>
      <c r="J174" s="64">
        <v>0</v>
      </c>
      <c r="K174" s="64">
        <v>100</v>
      </c>
      <c r="L174" s="65">
        <v>0</v>
      </c>
      <c r="M174" s="65" t="s">
        <v>145</v>
      </c>
      <c r="N174" s="64">
        <v>0</v>
      </c>
      <c r="O174" s="64">
        <v>100</v>
      </c>
      <c r="P174" s="66">
        <v>0</v>
      </c>
      <c r="Q174" s="21">
        <v>0</v>
      </c>
      <c r="R174" s="21">
        <v>100</v>
      </c>
      <c r="S174" s="21">
        <v>0</v>
      </c>
      <c r="T174" s="21">
        <v>0.16</v>
      </c>
      <c r="U174" s="21">
        <v>100</v>
      </c>
      <c r="V174" s="21">
        <v>0.16</v>
      </c>
      <c r="W174" s="21">
        <v>0</v>
      </c>
      <c r="X174" s="21">
        <v>100</v>
      </c>
      <c r="Y174" s="21">
        <v>0</v>
      </c>
      <c r="Z174" s="21">
        <v>0</v>
      </c>
      <c r="AA174" s="21">
        <v>100</v>
      </c>
      <c r="AB174" s="21">
        <v>0</v>
      </c>
      <c r="AC174" s="21">
        <v>0.32</v>
      </c>
      <c r="AD174" s="21">
        <v>100</v>
      </c>
      <c r="AE174" s="21">
        <v>0</v>
      </c>
      <c r="AG174" s="21">
        <v>100</v>
      </c>
    </row>
    <row r="175" spans="1:33" x14ac:dyDescent="0.3">
      <c r="A175" s="58"/>
      <c r="B175" s="59"/>
      <c r="C175" s="59" t="s">
        <v>370</v>
      </c>
      <c r="D175" s="59"/>
      <c r="E175" s="60" t="s">
        <v>392</v>
      </c>
      <c r="F175" s="59"/>
      <c r="G175" s="61"/>
      <c r="H175" s="62" t="s">
        <v>473</v>
      </c>
      <c r="I175" s="63" t="s">
        <v>474</v>
      </c>
      <c r="J175" s="64">
        <v>0.12</v>
      </c>
      <c r="K175" s="64">
        <v>100</v>
      </c>
      <c r="L175" s="65">
        <v>0.12</v>
      </c>
      <c r="M175" s="65" t="s">
        <v>145</v>
      </c>
      <c r="N175" s="64">
        <v>0.52</v>
      </c>
      <c r="O175" s="64">
        <v>100</v>
      </c>
      <c r="P175" s="66">
        <v>0.52</v>
      </c>
      <c r="Q175" s="21">
        <v>0</v>
      </c>
      <c r="R175" s="21">
        <v>100</v>
      </c>
      <c r="S175" s="21">
        <v>0</v>
      </c>
      <c r="T175" s="21">
        <v>0</v>
      </c>
      <c r="U175" s="21">
        <v>100</v>
      </c>
      <c r="V175" s="21">
        <v>0</v>
      </c>
      <c r="W175" s="21">
        <v>0</v>
      </c>
      <c r="X175" s="21">
        <v>100</v>
      </c>
      <c r="Y175" s="21">
        <v>0</v>
      </c>
      <c r="Z175" s="21">
        <v>0</v>
      </c>
      <c r="AA175" s="21">
        <v>100</v>
      </c>
      <c r="AB175" s="21">
        <v>0</v>
      </c>
      <c r="AC175" s="21">
        <v>0</v>
      </c>
      <c r="AD175" s="21">
        <v>100</v>
      </c>
      <c r="AE175" s="21">
        <v>0</v>
      </c>
      <c r="AG175" s="21">
        <v>100</v>
      </c>
    </row>
    <row r="176" spans="1:33" x14ac:dyDescent="0.3">
      <c r="A176" s="58"/>
      <c r="B176" s="59"/>
      <c r="C176" s="59" t="s">
        <v>370</v>
      </c>
      <c r="D176" s="59"/>
      <c r="E176" s="60" t="s">
        <v>393</v>
      </c>
      <c r="F176" s="59"/>
      <c r="G176" s="61"/>
      <c r="H176" s="62" t="s">
        <v>473</v>
      </c>
      <c r="I176" s="63" t="s">
        <v>474</v>
      </c>
      <c r="J176" s="64">
        <v>0</v>
      </c>
      <c r="K176" s="64">
        <v>100</v>
      </c>
      <c r="L176" s="65">
        <v>0</v>
      </c>
      <c r="M176" s="65" t="s">
        <v>145</v>
      </c>
      <c r="N176" s="64">
        <v>0.52</v>
      </c>
      <c r="O176" s="64">
        <v>100</v>
      </c>
      <c r="P176" s="66">
        <v>0.52</v>
      </c>
      <c r="Q176" s="21">
        <v>0.34</v>
      </c>
      <c r="R176" s="21">
        <v>100</v>
      </c>
      <c r="S176" s="21">
        <v>0.34</v>
      </c>
      <c r="T176" s="21">
        <v>0</v>
      </c>
      <c r="U176" s="21">
        <v>100</v>
      </c>
      <c r="V176" s="21">
        <v>0</v>
      </c>
      <c r="W176" s="21">
        <v>0</v>
      </c>
      <c r="X176" s="21">
        <v>100</v>
      </c>
      <c r="Y176" s="21">
        <v>0</v>
      </c>
      <c r="Z176" s="21">
        <v>0</v>
      </c>
      <c r="AA176" s="21">
        <v>100</v>
      </c>
      <c r="AB176" s="21">
        <v>0</v>
      </c>
      <c r="AC176" s="21">
        <v>0</v>
      </c>
      <c r="AD176" s="21">
        <v>100</v>
      </c>
      <c r="AE176" s="21">
        <v>0</v>
      </c>
      <c r="AG176" s="21">
        <v>100</v>
      </c>
    </row>
    <row r="177" spans="1:33" x14ac:dyDescent="0.3">
      <c r="A177" s="58"/>
      <c r="B177" s="59"/>
      <c r="C177" s="59" t="s">
        <v>370</v>
      </c>
      <c r="D177" s="59"/>
      <c r="E177" s="60" t="s">
        <v>394</v>
      </c>
      <c r="F177" s="59"/>
      <c r="G177" s="61"/>
      <c r="H177" s="62" t="s">
        <v>473</v>
      </c>
      <c r="I177" s="63" t="s">
        <v>474</v>
      </c>
      <c r="J177" s="64">
        <v>0</v>
      </c>
      <c r="K177" s="64">
        <v>100</v>
      </c>
      <c r="L177" s="65">
        <v>0</v>
      </c>
      <c r="M177" s="65" t="s">
        <v>145</v>
      </c>
      <c r="N177" s="64">
        <v>0</v>
      </c>
      <c r="O177" s="64">
        <v>100</v>
      </c>
      <c r="P177" s="66">
        <v>0</v>
      </c>
      <c r="Q177" s="21">
        <v>0.3</v>
      </c>
      <c r="R177" s="21">
        <v>100</v>
      </c>
      <c r="S177" s="21">
        <v>0.3</v>
      </c>
      <c r="T177" s="21">
        <v>0.1</v>
      </c>
      <c r="U177" s="21">
        <v>100</v>
      </c>
      <c r="V177" s="21">
        <v>0.1</v>
      </c>
      <c r="W177" s="21">
        <v>0</v>
      </c>
      <c r="X177" s="21">
        <v>100</v>
      </c>
      <c r="Y177" s="21">
        <v>0</v>
      </c>
      <c r="Z177" s="21">
        <v>0</v>
      </c>
      <c r="AA177" s="21">
        <v>100</v>
      </c>
      <c r="AB177" s="21">
        <v>0</v>
      </c>
      <c r="AC177" s="21">
        <v>0.42</v>
      </c>
      <c r="AD177" s="21">
        <v>100</v>
      </c>
      <c r="AE177" s="21">
        <v>0.42</v>
      </c>
      <c r="AG177" s="21">
        <v>100</v>
      </c>
    </row>
    <row r="178" spans="1:33" x14ac:dyDescent="0.3">
      <c r="A178" s="58"/>
      <c r="B178" s="59"/>
      <c r="C178" s="59" t="s">
        <v>370</v>
      </c>
      <c r="D178" s="59"/>
      <c r="E178" s="60" t="s">
        <v>395</v>
      </c>
      <c r="F178" s="59"/>
      <c r="G178" s="61"/>
      <c r="H178" s="62" t="s">
        <v>473</v>
      </c>
      <c r="I178" s="63" t="s">
        <v>474</v>
      </c>
      <c r="J178" s="64">
        <v>0</v>
      </c>
      <c r="K178" s="64">
        <v>100</v>
      </c>
      <c r="L178" s="65">
        <v>0</v>
      </c>
      <c r="M178" s="65" t="s">
        <v>145</v>
      </c>
      <c r="N178" s="64">
        <v>0.18</v>
      </c>
      <c r="O178" s="64">
        <v>100</v>
      </c>
      <c r="P178" s="66">
        <v>0.18</v>
      </c>
      <c r="Q178" s="21">
        <v>0</v>
      </c>
      <c r="R178" s="21">
        <v>100</v>
      </c>
      <c r="S178" s="21">
        <v>0</v>
      </c>
      <c r="T178" s="21">
        <v>0</v>
      </c>
      <c r="U178" s="21">
        <v>100</v>
      </c>
      <c r="V178" s="21">
        <v>0</v>
      </c>
      <c r="W178" s="21">
        <v>0</v>
      </c>
      <c r="X178" s="21">
        <v>100</v>
      </c>
      <c r="Y178" s="21">
        <v>0</v>
      </c>
      <c r="Z178" s="21">
        <v>0</v>
      </c>
      <c r="AA178" s="21">
        <v>100</v>
      </c>
      <c r="AB178" s="21">
        <v>0</v>
      </c>
      <c r="AC178" s="21">
        <v>0.23</v>
      </c>
      <c r="AD178" s="21">
        <v>100</v>
      </c>
      <c r="AE178" s="21">
        <v>0.23</v>
      </c>
      <c r="AG178" s="21">
        <v>100</v>
      </c>
    </row>
    <row r="179" spans="1:33" x14ac:dyDescent="0.3">
      <c r="A179" s="58"/>
      <c r="B179" s="59"/>
      <c r="C179" s="59" t="s">
        <v>370</v>
      </c>
      <c r="D179" s="59"/>
      <c r="E179" s="60" t="s">
        <v>396</v>
      </c>
      <c r="F179" s="59"/>
      <c r="G179" s="61"/>
      <c r="H179" s="62" t="s">
        <v>473</v>
      </c>
      <c r="I179" s="63" t="s">
        <v>474</v>
      </c>
      <c r="J179" s="64">
        <v>0</v>
      </c>
      <c r="K179" s="64">
        <v>100</v>
      </c>
      <c r="L179" s="65">
        <v>0</v>
      </c>
      <c r="M179" s="65" t="s">
        <v>145</v>
      </c>
      <c r="N179" s="64">
        <v>0.45</v>
      </c>
      <c r="O179" s="64">
        <v>100</v>
      </c>
      <c r="P179" s="66">
        <v>0.45</v>
      </c>
      <c r="Q179" s="21">
        <v>0</v>
      </c>
      <c r="R179" s="21">
        <v>100</v>
      </c>
      <c r="S179" s="21">
        <v>0</v>
      </c>
      <c r="T179" s="21">
        <v>0</v>
      </c>
      <c r="U179" s="21">
        <v>100</v>
      </c>
      <c r="V179" s="21">
        <v>0</v>
      </c>
      <c r="W179" s="21">
        <v>0</v>
      </c>
      <c r="X179" s="21">
        <v>100</v>
      </c>
      <c r="Y179" s="21">
        <v>0</v>
      </c>
      <c r="Z179" s="21">
        <v>0</v>
      </c>
      <c r="AA179" s="21">
        <v>100</v>
      </c>
      <c r="AB179" s="21">
        <v>0</v>
      </c>
      <c r="AC179" s="21">
        <v>0.04</v>
      </c>
      <c r="AD179" s="21">
        <v>100</v>
      </c>
      <c r="AE179" s="21">
        <v>0.04</v>
      </c>
      <c r="AG179" s="21">
        <v>100</v>
      </c>
    </row>
    <row r="180" spans="1:33" x14ac:dyDescent="0.3">
      <c r="A180" s="63" t="s">
        <v>479</v>
      </c>
      <c r="B180" s="65" t="s">
        <v>143</v>
      </c>
      <c r="C180" s="59" t="s">
        <v>370</v>
      </c>
      <c r="D180" s="63">
        <v>3</v>
      </c>
      <c r="E180" s="67" t="s">
        <v>397</v>
      </c>
      <c r="F180" s="65">
        <v>359</v>
      </c>
      <c r="G180" s="68"/>
      <c r="H180" s="62" t="s">
        <v>473</v>
      </c>
      <c r="I180" s="63" t="s">
        <v>474</v>
      </c>
      <c r="J180" s="69">
        <v>0.46</v>
      </c>
      <c r="K180" s="59">
        <v>100</v>
      </c>
      <c r="L180" s="65">
        <v>0.46</v>
      </c>
      <c r="M180" s="65" t="s">
        <v>145</v>
      </c>
      <c r="N180" s="59">
        <v>0</v>
      </c>
      <c r="O180" s="59">
        <v>100</v>
      </c>
      <c r="P180" s="66">
        <v>0</v>
      </c>
      <c r="Q180" s="21">
        <v>0</v>
      </c>
      <c r="R180" s="21">
        <v>100</v>
      </c>
      <c r="S180" s="21">
        <v>0</v>
      </c>
      <c r="T180" s="21">
        <v>0</v>
      </c>
      <c r="U180" s="21">
        <v>100</v>
      </c>
      <c r="V180" s="21">
        <v>0</v>
      </c>
      <c r="W180" s="21">
        <v>0</v>
      </c>
      <c r="X180" s="21">
        <v>100</v>
      </c>
      <c r="Y180" s="21">
        <v>0</v>
      </c>
      <c r="Z180" s="21">
        <v>0</v>
      </c>
      <c r="AA180" s="21">
        <v>100</v>
      </c>
      <c r="AB180" s="21">
        <v>0</v>
      </c>
      <c r="AC180" s="21">
        <v>0</v>
      </c>
      <c r="AD180" s="21">
        <v>100</v>
      </c>
      <c r="AE180" s="21">
        <v>0</v>
      </c>
      <c r="AG180" s="21">
        <v>100</v>
      </c>
    </row>
    <row r="181" spans="1:33" x14ac:dyDescent="0.3">
      <c r="A181" s="63" t="s">
        <v>480</v>
      </c>
      <c r="B181" s="65" t="s">
        <v>481</v>
      </c>
      <c r="C181" s="59" t="s">
        <v>370</v>
      </c>
      <c r="D181" s="63">
        <v>3</v>
      </c>
      <c r="E181" s="67" t="s">
        <v>398</v>
      </c>
      <c r="F181" s="65">
        <v>360</v>
      </c>
      <c r="G181" s="63">
        <v>1.3</v>
      </c>
      <c r="H181" s="63" t="s">
        <v>482</v>
      </c>
      <c r="I181" s="63" t="s">
        <v>483</v>
      </c>
      <c r="J181" s="69">
        <v>0.39</v>
      </c>
      <c r="K181" s="59">
        <v>100</v>
      </c>
      <c r="L181" s="65">
        <v>0.39</v>
      </c>
      <c r="M181" s="65" t="s">
        <v>145</v>
      </c>
      <c r="N181" s="59">
        <v>0</v>
      </c>
      <c r="O181" s="59">
        <v>100</v>
      </c>
      <c r="P181" s="66">
        <v>0</v>
      </c>
      <c r="Q181" s="21">
        <v>0</v>
      </c>
      <c r="R181" s="21">
        <v>100</v>
      </c>
      <c r="S181" s="21">
        <v>0</v>
      </c>
      <c r="T181" s="21">
        <v>0</v>
      </c>
      <c r="U181" s="21">
        <v>100</v>
      </c>
      <c r="V181" s="21">
        <v>0</v>
      </c>
      <c r="W181" s="21">
        <v>0</v>
      </c>
      <c r="X181" s="21">
        <v>100</v>
      </c>
      <c r="Y181" s="21">
        <v>0</v>
      </c>
      <c r="Z181" s="21">
        <v>0</v>
      </c>
      <c r="AA181" s="21">
        <v>100</v>
      </c>
      <c r="AB181" s="21">
        <v>0</v>
      </c>
      <c r="AC181" s="21">
        <v>0</v>
      </c>
      <c r="AD181" s="21">
        <v>100</v>
      </c>
      <c r="AE181" s="21">
        <v>0</v>
      </c>
      <c r="AG181" s="21">
        <v>100</v>
      </c>
    </row>
    <row r="182" spans="1:33" x14ac:dyDescent="0.3">
      <c r="A182"/>
      <c r="B182"/>
      <c r="C182" t="s">
        <v>379</v>
      </c>
      <c r="D182"/>
      <c r="E182" t="s">
        <v>373</v>
      </c>
      <c r="F182"/>
      <c r="G182"/>
      <c r="H182" t="s">
        <v>473</v>
      </c>
      <c r="I182" t="s">
        <v>474</v>
      </c>
      <c r="J182"/>
      <c r="K182"/>
      <c r="L182"/>
      <c r="M182"/>
      <c r="N182"/>
      <c r="O182"/>
      <c r="P182"/>
    </row>
    <row r="183" spans="1:33" x14ac:dyDescent="0.3">
      <c r="A183"/>
      <c r="B183"/>
      <c r="C183" t="s">
        <v>379</v>
      </c>
      <c r="D183"/>
      <c r="E183" t="s">
        <v>375</v>
      </c>
      <c r="F183"/>
      <c r="G183"/>
      <c r="H183" t="s">
        <v>482</v>
      </c>
      <c r="I183" t="s">
        <v>483</v>
      </c>
      <c r="J183"/>
      <c r="K183"/>
      <c r="L183"/>
      <c r="M183"/>
      <c r="N183"/>
      <c r="O183"/>
      <c r="P183"/>
    </row>
    <row r="184" spans="1:33" x14ac:dyDescent="0.3">
      <c r="A184"/>
      <c r="B184"/>
      <c r="C184" t="s">
        <v>379</v>
      </c>
      <c r="D184"/>
      <c r="E184" t="s">
        <v>377</v>
      </c>
      <c r="F184"/>
      <c r="G184"/>
      <c r="H184" t="s">
        <v>68</v>
      </c>
      <c r="I184" t="s">
        <v>69</v>
      </c>
      <c r="J184"/>
      <c r="K184"/>
      <c r="L184"/>
      <c r="M184"/>
      <c r="N184"/>
      <c r="O184"/>
      <c r="P184"/>
    </row>
  </sheetData>
  <sheetProtection algorithmName="SHA-512" hashValue="eoA3mq/E0xirOqAh1wI05MurMNISfF2MhBnoC54OOovQog3obW6ZfxrZcUvx9LgnIe8fbarMM1BOA4o9bpbvEg==" saltValue="uF5rSDg9vCEkhKqIv1tNEA==" spinCount="100000" sheet="1" objects="1" scenarios="1" selectLockedCells="1"/>
  <autoFilter ref="A2:AF184" xr:uid="{7B8028E9-7410-4752-896A-D0D4428BD13D}"/>
  <mergeCells count="8">
    <mergeCell ref="Z1:AB1"/>
    <mergeCell ref="AC1:AE1"/>
    <mergeCell ref="E1:I1"/>
    <mergeCell ref="J1:M1"/>
    <mergeCell ref="N1:P1"/>
    <mergeCell ref="Q1:S1"/>
    <mergeCell ref="T1:V1"/>
    <mergeCell ref="W1:Y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316f08-dc61-4a7a-b6c4-6fb9b2ecea4f">
      <Terms xmlns="http://schemas.microsoft.com/office/infopath/2007/PartnerControls"/>
    </lcf76f155ced4ddcb4097134ff3c332f>
    <TaxCatchAll xmlns="195c0b3a-d8a0-4e42-b18c-dc820311926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87797F6F16824ABB785C89DA3AF73D" ma:contentTypeVersion="16" ma:contentTypeDescription="Crée un document." ma:contentTypeScope="" ma:versionID="34f43eb0a00fec45b74076e155eb56c5">
  <xsd:schema xmlns:xsd="http://www.w3.org/2001/XMLSchema" xmlns:xs="http://www.w3.org/2001/XMLSchema" xmlns:p="http://schemas.microsoft.com/office/2006/metadata/properties" xmlns:ns2="32316f08-dc61-4a7a-b6c4-6fb9b2ecea4f" xmlns:ns3="195c0b3a-d8a0-4e42-b18c-dc820311926f" targetNamespace="http://schemas.microsoft.com/office/2006/metadata/properties" ma:root="true" ma:fieldsID="3354f09c5db37b3978dab9b1e4737217" ns2:_="" ns3:_="">
    <xsd:import namespace="32316f08-dc61-4a7a-b6c4-6fb9b2ecea4f"/>
    <xsd:import namespace="195c0b3a-d8a0-4e42-b18c-dc82031192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316f08-dc61-4a7a-b6c4-6fb9b2ecea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0b8fd057-f497-4875-ab44-d7d4ba58925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5c0b3a-d8a0-4e42-b18c-dc820311926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7be3c6f-5d1d-452a-b4f2-dcceff3fd9c4}" ma:internalName="TaxCatchAll" ma:showField="CatchAllData" ma:web="195c0b3a-d8a0-4e42-b18c-dc820311926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3E5E616-366E-451F-BE58-8C525BBB0637}">
  <ds:schemaRefs>
    <ds:schemaRef ds:uri="http://schemas.microsoft.com/office/infopath/2007/PartnerControls"/>
    <ds:schemaRef ds:uri="http://purl.org/dc/elements/1.1/"/>
    <ds:schemaRef ds:uri="http://purl.org/dc/dcmitype/"/>
    <ds:schemaRef ds:uri="http://schemas.microsoft.com/office/2006/metadata/properties"/>
    <ds:schemaRef ds:uri="32316f08-dc61-4a7a-b6c4-6fb9b2ecea4f"/>
    <ds:schemaRef ds:uri="http://schemas.microsoft.com/office/2006/documentManagement/types"/>
    <ds:schemaRef ds:uri="http://schemas.openxmlformats.org/package/2006/metadata/core-properties"/>
    <ds:schemaRef ds:uri="195c0b3a-d8a0-4e42-b18c-dc820311926f"/>
    <ds:schemaRef ds:uri="http://www.w3.org/XML/1998/namespace"/>
    <ds:schemaRef ds:uri="http://purl.org/dc/terms/"/>
  </ds:schemaRefs>
</ds:datastoreItem>
</file>

<file path=customXml/itemProps2.xml><?xml version="1.0" encoding="utf-8"?>
<ds:datastoreItem xmlns:ds="http://schemas.openxmlformats.org/officeDocument/2006/customXml" ds:itemID="{2A2FA2ED-C2AD-4C7E-8E5C-42E71A39859A}">
  <ds:schemaRefs>
    <ds:schemaRef ds:uri="http://schemas.microsoft.com/sharepoint/v3/contenttype/forms"/>
  </ds:schemaRefs>
</ds:datastoreItem>
</file>

<file path=customXml/itemProps3.xml><?xml version="1.0" encoding="utf-8"?>
<ds:datastoreItem xmlns:ds="http://schemas.openxmlformats.org/officeDocument/2006/customXml" ds:itemID="{53B62B6F-780C-4F2C-BB08-E76ACC88D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316f08-dc61-4a7a-b6c4-6fb9b2ecea4f"/>
    <ds:schemaRef ds:uri="195c0b3a-d8a0-4e42-b18c-dc82031192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44B7DB5-D166-48A8-820C-80E102A6AB0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2</vt:i4>
      </vt:variant>
    </vt:vector>
  </HeadingPairs>
  <TitlesOfParts>
    <vt:vector size="13" baseType="lpstr">
      <vt:lpstr>Handleiding</vt:lpstr>
      <vt:lpstr>Te gebruiken meststoffen</vt:lpstr>
      <vt:lpstr>Perceel_1</vt:lpstr>
      <vt:lpstr>Perceel_2</vt:lpstr>
      <vt:lpstr>Perceel_3</vt:lpstr>
      <vt:lpstr>Perceel_4</vt:lpstr>
      <vt:lpstr>Perceel_5</vt:lpstr>
      <vt:lpstr>Regels in te bouwen</vt:lpstr>
      <vt:lpstr>Algemene adviezen</vt:lpstr>
      <vt:lpstr>Lijsten en tabellen</vt:lpstr>
      <vt:lpstr>Meststoffenlijst</vt:lpstr>
      <vt:lpstr>Diercategorie</vt:lpstr>
      <vt:lpstr>Melkkoeien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 Keppens</dc:creator>
  <cp:lastModifiedBy>Lore Luys</cp:lastModifiedBy>
  <dcterms:created xsi:type="dcterms:W3CDTF">2025-02-20T09:45:15Z</dcterms:created>
  <dcterms:modified xsi:type="dcterms:W3CDTF">2026-10-07T10:56:33Z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0x0101000287797F6F16824ABB785C89DA3AF73D</vt:lpwstr>
  </property>
  <property fmtid="{D5CDD505-2E9C-101B-9397-08002B2CF9AE}" pid="3" name="MediaServiceImageTags">
    <vt:lpwstr/>
  </property>
</Properties>
</file>