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pvlvzw.sharepoint.com/sites/PVLVzw/Documents partages/General/Tools/"/>
    </mc:Choice>
  </mc:AlternateContent>
  <xr:revisionPtr revIDLastSave="21" documentId="13_ncr:1_{69DECB55-1694-4C94-B239-15C2CBF3EBF6}" xr6:coauthVersionLast="47" xr6:coauthVersionMax="47" xr10:uidLastSave="{097FF283-B9FD-4733-9FAD-3E28BDEE2C21}"/>
  <bookViews>
    <workbookView xWindow="-108" yWindow="-108" windowWidth="23256" windowHeight="12456" xr2:uid="{82C77EA0-B414-40E2-85C1-5D8C8EE8700C}"/>
  </bookViews>
  <sheets>
    <sheet name="Handleiding" sheetId="6" r:id="rId1"/>
    <sheet name="Teelt" sheetId="1" r:id="rId2"/>
    <sheet name="Vervoedering" sheetId="4" r:id="rId3"/>
    <sheet name="Toasten" sheetId="5" r:id="rId4"/>
    <sheet name="Tabellen voor keuzelijsten"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3" i="4" l="1"/>
  <c r="C42" i="4"/>
  <c r="C41" i="4"/>
  <c r="C38" i="4"/>
  <c r="C40" i="4"/>
  <c r="C39" i="4"/>
  <c r="I3" i="5" l="1"/>
  <c r="H3" i="5"/>
  <c r="H42" i="4" l="1"/>
  <c r="H41" i="4"/>
  <c r="J42" i="4"/>
  <c r="J41" i="4"/>
  <c r="J40" i="4"/>
  <c r="H40" i="4"/>
  <c r="I35" i="4"/>
  <c r="I34" i="4"/>
  <c r="B45" i="4"/>
  <c r="A40" i="4"/>
  <c r="A38" i="4"/>
  <c r="B44" i="4"/>
  <c r="A39" i="4"/>
  <c r="E36" i="4"/>
  <c r="E35" i="4"/>
  <c r="E34" i="4"/>
  <c r="D32" i="5"/>
  <c r="E28" i="1"/>
  <c r="C28" i="1" s="1"/>
  <c r="C24" i="4"/>
  <c r="A22" i="4"/>
  <c r="A38" i="1"/>
  <c r="A37" i="1"/>
  <c r="C39" i="1" s="1"/>
  <c r="A41" i="4" l="1"/>
  <c r="A42" i="4"/>
  <c r="A43" i="4"/>
  <c r="F5" i="1"/>
  <c r="F3" i="1"/>
  <c r="F2" i="1"/>
  <c r="G3" i="4"/>
  <c r="G2" i="4"/>
  <c r="H4" i="1"/>
  <c r="A39" i="1"/>
  <c r="G3" i="1"/>
  <c r="A28" i="1"/>
  <c r="C20" i="1"/>
  <c r="G2" i="1" s="1"/>
  <c r="A20" i="1"/>
  <c r="A41" i="1"/>
  <c r="A30" i="1"/>
  <c r="A49" i="1"/>
  <c r="A47" i="1"/>
  <c r="A25" i="1"/>
  <c r="D25" i="1" s="1"/>
  <c r="B21" i="4"/>
  <c r="C17" i="5"/>
  <c r="B8" i="5"/>
  <c r="B20" i="5" s="1"/>
  <c r="C7" i="5"/>
  <c r="H8" i="4" l="1"/>
  <c r="H9" i="4"/>
  <c r="B13" i="5"/>
  <c r="B14" i="5" s="1"/>
  <c r="D48" i="1"/>
  <c r="B26" i="4"/>
  <c r="B27" i="4" s="1"/>
  <c r="G2" i="5"/>
  <c r="B21" i="5"/>
  <c r="F3" i="5"/>
  <c r="G3" i="5"/>
  <c r="F2" i="5"/>
  <c r="J4" i="5" l="1"/>
  <c r="B26" i="5"/>
  <c r="B23" i="5"/>
  <c r="B27" i="5" s="1"/>
  <c r="A33" i="5" s="1"/>
  <c r="B22" i="5"/>
  <c r="C20" i="4" l="1"/>
  <c r="F12" i="4"/>
  <c r="F11" i="4"/>
  <c r="E11" i="4"/>
  <c r="E12" i="4"/>
  <c r="A15" i="4"/>
  <c r="A14" i="4"/>
  <c r="A13" i="4"/>
  <c r="A27" i="1"/>
  <c r="D27" i="1" s="1"/>
  <c r="A26" i="1"/>
  <c r="D26" i="1" s="1"/>
  <c r="D13" i="4" l="1"/>
  <c r="I36" i="4"/>
  <c r="G4" i="4"/>
  <c r="I38" i="4"/>
  <c r="G6" i="4"/>
  <c r="I39" i="4"/>
  <c r="G7" i="4"/>
  <c r="E14" i="4"/>
  <c r="F15" i="4"/>
  <c r="E13" i="4"/>
  <c r="F13" i="4"/>
  <c r="F14" i="4"/>
  <c r="E15" i="4"/>
  <c r="K43" i="4" l="1"/>
  <c r="I10" i="4"/>
  <c r="B16" i="4"/>
  <c r="A17" i="4"/>
  <c r="B46" i="4" s="1"/>
  <c r="B47" i="4" l="1"/>
  <c r="B30" i="4"/>
  <c r="B28" i="4"/>
  <c r="A29" i="4"/>
  <c r="A8" i="1" l="1"/>
  <c r="A36" i="1"/>
  <c r="A35" i="1"/>
  <c r="A6" i="1"/>
  <c r="G2" i="2"/>
  <c r="A31" i="1"/>
  <c r="A29" i="1"/>
  <c r="C29" i="1"/>
  <c r="H5" i="1" l="1"/>
  <c r="C40" i="1" l="1"/>
  <c r="C41" i="1"/>
  <c r="C42" i="1" s="1"/>
  <c r="A21" i="1" l="1"/>
  <c r="A46" i="1"/>
  <c r="A42" i="1"/>
  <c r="A40" i="1"/>
  <c r="C21" i="1" l="1"/>
  <c r="C31" i="1" s="1"/>
  <c r="C30" i="1"/>
  <c r="E47" i="1" l="1"/>
  <c r="F47" i="1"/>
  <c r="C47" i="1" s="1"/>
  <c r="C49" i="1"/>
  <c r="C45" i="1"/>
  <c r="I6" i="1" s="1"/>
  <c r="C46" i="1" l="1"/>
</calcChain>
</file>

<file path=xl/sharedStrings.xml><?xml version="1.0" encoding="utf-8"?>
<sst xmlns="http://schemas.openxmlformats.org/spreadsheetml/2006/main" count="254" uniqueCount="151">
  <si>
    <t>Teeltkosten en opbrengsten</t>
  </si>
  <si>
    <t>Mengteelt</t>
  </si>
  <si>
    <t>Gehele plant silage</t>
  </si>
  <si>
    <t>Invulwijze</t>
  </si>
  <si>
    <t>Per ha</t>
  </si>
  <si>
    <t>Over volledig areaal veldbonen</t>
  </si>
  <si>
    <t>Selecteer invulwijze</t>
  </si>
  <si>
    <t>Vaste kosten teelt</t>
  </si>
  <si>
    <t>Zaai</t>
  </si>
  <si>
    <t>Bemesting</t>
  </si>
  <si>
    <t>Variabele kosten teelt</t>
  </si>
  <si>
    <t>Gewasbescherming</t>
  </si>
  <si>
    <t>Toasten</t>
  </si>
  <si>
    <t>Teeltkosten</t>
  </si>
  <si>
    <t>Winsten</t>
  </si>
  <si>
    <t>Financieel resultaat</t>
  </si>
  <si>
    <t>Reincultuur</t>
  </si>
  <si>
    <t>Bewerkingen</t>
  </si>
  <si>
    <t>Malen</t>
  </si>
  <si>
    <t>Pletten</t>
  </si>
  <si>
    <t>Triëren/scheiden</t>
  </si>
  <si>
    <t>Toasten &amp; malen</t>
  </si>
  <si>
    <t>Toasten &amp; pletten</t>
  </si>
  <si>
    <t>Toasten &amp; triëren</t>
  </si>
  <si>
    <t>Toasten, triëren &amp; malen</t>
  </si>
  <si>
    <t>Toasten, triëren &amp; pletten</t>
  </si>
  <si>
    <t>Triëren &amp; malen</t>
  </si>
  <si>
    <t>Triëren &amp; pletten</t>
  </si>
  <si>
    <t>Geen</t>
  </si>
  <si>
    <t>Beoogde teeltwijze</t>
  </si>
  <si>
    <t>Pacht + algemene kosten (€)</t>
  </si>
  <si>
    <t>Grondbewerkingen (€)</t>
  </si>
  <si>
    <t>Zaaizaad (€)</t>
  </si>
  <si>
    <t>Zaaien (€)</t>
  </si>
  <si>
    <t>Uitrijden (€)</t>
  </si>
  <si>
    <t>Oogst (€)</t>
  </si>
  <si>
    <t>Gewasbeschermingsmiddelen (€)</t>
  </si>
  <si>
    <t>Spuiten (€)</t>
  </si>
  <si>
    <t>Premie (€)</t>
  </si>
  <si>
    <t>Resultaat (€)</t>
  </si>
  <si>
    <t>Vervoedering van veldbonen</t>
  </si>
  <si>
    <t>Kosten</t>
  </si>
  <si>
    <t>Resultaat voederwaardeprijs</t>
  </si>
  <si>
    <t>Hoeveelheid aangekocht</t>
  </si>
  <si>
    <t>Teeltwijze</t>
  </si>
  <si>
    <t>ton</t>
  </si>
  <si>
    <t>Invulwijze vervoedering</t>
  </si>
  <si>
    <t>Aankoopprijs</t>
  </si>
  <si>
    <t>€</t>
  </si>
  <si>
    <t>€/ton</t>
  </si>
  <si>
    <t>Transport</t>
  </si>
  <si>
    <t>Totale kostprijs</t>
  </si>
  <si>
    <t>Vochtgehalte</t>
  </si>
  <si>
    <t>Vochtgehalte/DS</t>
  </si>
  <si>
    <t>DS</t>
  </si>
  <si>
    <t>Totaal DS gewicht</t>
  </si>
  <si>
    <t>VEM</t>
  </si>
  <si>
    <t>per kg DS</t>
  </si>
  <si>
    <t>DVE</t>
  </si>
  <si>
    <t>Energietoeslag</t>
  </si>
  <si>
    <t>€/kVEM</t>
  </si>
  <si>
    <t>Eiwittoeslag</t>
  </si>
  <si>
    <t>€/kg DVE</t>
  </si>
  <si>
    <t>Voederwaardeprijs</t>
  </si>
  <si>
    <t>Resultaat vervanging door 1 ton veldbonen</t>
  </si>
  <si>
    <t>Vervangbaar met 1 ton veldbonen</t>
  </si>
  <si>
    <t>Vul de gele vakken in met de voor jouw bedrijf correcte gegevens.</t>
  </si>
  <si>
    <t>Vul de gele vakken in met de voor jouw bedrijf correcte gegevens en eenheden. 
Bedrijven die de veldbonen ook zelf hebben geteeld, kunnen hier de break-even prijs van het blad "teelt" gebruiken als aankoopprijs van de veldbonen.</t>
  </si>
  <si>
    <t>Nog te gebeuren bewerkingen na aankoop</t>
  </si>
  <si>
    <t>&gt; Nog onzichtbaar &amp; niet-aanpasbaar te maken in finale versie.</t>
  </si>
  <si>
    <t>Resultaat volledig tonnage veldbonen</t>
  </si>
  <si>
    <t>Totale tonnage veldbonen</t>
  </si>
  <si>
    <t>Voederwaardeprijs van de ongetoaste veldbonen</t>
  </si>
  <si>
    <t>€/ton VS</t>
  </si>
  <si>
    <t>Voederwaardeprijs van de getoaste veldbonen</t>
  </si>
  <si>
    <t>Voederwaardeprijs getoast</t>
  </si>
  <si>
    <t>Voederwaardeprijs niet-getoast</t>
  </si>
  <si>
    <t>Tonnage getoaste veldbonen</t>
  </si>
  <si>
    <t>€/ton getoaste veldbonen</t>
  </si>
  <si>
    <t>Resultaat toasten</t>
  </si>
  <si>
    <t>Stijging voederwaardeprijs door toasten</t>
  </si>
  <si>
    <t>Kostprijs toasten</t>
  </si>
  <si>
    <t>Eenheid</t>
  </si>
  <si>
    <t>Besluit</t>
  </si>
  <si>
    <t>Verkoopprijs veldbonen (€/ton)</t>
  </si>
  <si>
    <t>Verkoopprijs granen (€/ton)</t>
  </si>
  <si>
    <t>Verkoopprijs</t>
  </si>
  <si>
    <t>Totale kosten</t>
  </si>
  <si>
    <t>Totale winsten</t>
  </si>
  <si>
    <t>Aankoopkosten</t>
  </si>
  <si>
    <t>Triage</t>
  </si>
  <si>
    <t>Pletten/malen</t>
  </si>
  <si>
    <t>Premie</t>
  </si>
  <si>
    <t>Voederwaardeprijs ongetoast</t>
  </si>
  <si>
    <t>Saldo toasten</t>
  </si>
  <si>
    <t>Saldo teelt</t>
  </si>
  <si>
    <t>Saldo vervoedering</t>
  </si>
  <si>
    <t>Saldo Vervoedering</t>
  </si>
  <si>
    <t>Richtwaarden</t>
  </si>
  <si>
    <t>Kostprijs als percentage van voederwaardeprijs</t>
  </si>
  <si>
    <t>%</t>
  </si>
  <si>
    <t>Kostprijs mengeling te vervangen producten</t>
  </si>
  <si>
    <t>75 €/ton</t>
  </si>
  <si>
    <t>75 €/ton VS</t>
  </si>
  <si>
    <t>280 €/ha</t>
  </si>
  <si>
    <t>300 €/ha</t>
  </si>
  <si>
    <t>Max. 600 €/ha</t>
  </si>
  <si>
    <t>330 €/ton</t>
  </si>
  <si>
    <t>330 €/ton droge bonen</t>
  </si>
  <si>
    <t>Bedrijfstype</t>
  </si>
  <si>
    <t>Melkvee</t>
  </si>
  <si>
    <t>Rundvee</t>
  </si>
  <si>
    <t>Transportkosten</t>
  </si>
  <si>
    <t>Toastkosten</t>
  </si>
  <si>
    <t>Is toasten rendabel volgens de stijging in voederwaardeprijs?</t>
  </si>
  <si>
    <t>4,5 - 8,5 ton/ha</t>
  </si>
  <si>
    <t>1130 VEM/kg DS</t>
  </si>
  <si>
    <t>110 (ongetoast) 155 (getoast) DVE/kg DS</t>
  </si>
  <si>
    <t xml:space="preserve">Kostprijs </t>
  </si>
  <si>
    <t>Resultaat vervanging rantsoencomponenten</t>
  </si>
  <si>
    <t>Component 1:</t>
  </si>
  <si>
    <t>Component 2:</t>
  </si>
  <si>
    <t>Component 3:</t>
  </si>
  <si>
    <t>Te vervangen rantsoencomponenten</t>
  </si>
  <si>
    <t>Te vervangen met 1 ton veldbonen</t>
  </si>
  <si>
    <t>Kosten per ton veldbonen</t>
  </si>
  <si>
    <t>Besparing op te vervangen componenten</t>
  </si>
  <si>
    <t>30 €/ton</t>
  </si>
  <si>
    <t>14-11% ongetoast, 8% getoast</t>
  </si>
  <si>
    <t>0,20 €/ton*km</t>
  </si>
  <si>
    <t>Sojaschroot: 480 €/ton</t>
  </si>
  <si>
    <t>Maïsmeel: 235 €/ton</t>
  </si>
  <si>
    <t>Evenwichtig krachtvoer: 380 €/ton</t>
  </si>
  <si>
    <t>170 €/ha</t>
  </si>
  <si>
    <t>100 €/ha</t>
  </si>
  <si>
    <t>40 €/ha</t>
  </si>
  <si>
    <t>Kunstmest (€)</t>
  </si>
  <si>
    <t>200 €/ha</t>
  </si>
  <si>
    <t>Binnen het Relance project "Veldbonen, van veld tot voer" werd er een rekentool ontwikkeld om het financiële aspect van de teelt, het vervoederen en toasten onder de loep te nemen.</t>
  </si>
  <si>
    <t>Algemeen</t>
  </si>
  <si>
    <t>Rekentool veldbonen (Augustus 2024)</t>
  </si>
  <si>
    <t>Teelt</t>
  </si>
  <si>
    <t>Vervoedering</t>
  </si>
  <si>
    <t>Krachtvoer</t>
  </si>
  <si>
    <t>SKT-mix</t>
  </si>
  <si>
    <t>Ieder rekenblad is op éénzelfde manier opgebouwd. Steeds dienen de gele cellen ingevuld te worden met de correcte gegevens van je eigen bedrijf. Voor schattingen kan ook steeds gebruik gemaakt worden van de toegevoegde richtwaarden. Controleer echter steeds kritisch of deze ook relevant zijn voor jouw bedrijfsvoering. Denk zo aan bewerkingen die door de loonwerker gebeuren of door u zelf of het onregelmatige effect van het toastproces op de DVE-waarde. Via de keuzelijsten, beschikbaar in sommige gele cellen, kunnen bepaalde kostenposten wegvallen of juist verschijnen. Vul deze dus steeds als eerste in zodat er geen kostenposten over het hoofd worden gezien. Na het invullen van alle benodigde gegevens, geeft de tool steeds automatisch het financiële resultaat weer.</t>
  </si>
  <si>
    <t>Onder het luik "Teelt" kan u aan de hand van de teeltkosten en opbrengst berekenen aan welke prijs de veldbonen minstens verkocht moeten worden om break-even te spelen. Ook bij eventuele afspraken tussen akkerbouwer (veldboonteler) en veehouder (veldboonvoerder) kan de tool helpen bij het afspreken van een correcte prijs.</t>
  </si>
  <si>
    <t>Bij het rekenblad van "Vervoedering" kan er op twee manieren gekeken worden naar het financiële aspect. Een eerste manier om de prijs van veldbonen te evalueren, is het vergelijken met de voederwaardeprijzen. Let op, vul steeds de correcte toeslagen in voor VEM en DVE, want deze veranderen doorheen de tijd. De tweede methode om het inpassen van veldbonen in het rantsoen financieel te evalueren, is het vergelijken van de prijs met deze van de te vervangen component(en). Let hierbij op dat de te vervangen component(en) voederwaardegewijs ook wel gelijkwaardig zijn aan deze van de veldbonen (ongetoast of getoast kan sterk verschillen).</t>
  </si>
  <si>
    <t>Het effect van toasten op de voederwaardeprijs kan worden bekeken in het rekenblad "Toasten". Let zeker op de DVE-waarden en het vochtgehalte daar deze vooral veranderen door het toastproces. Bij schattingen voor het toasten, wordt er best rekening gehouden met het eerder onregelmatige effect van het toastproces op de DVE-waarde. Overschat de DVE-stijging dus ook niet.</t>
  </si>
  <si>
    <t>0,20 €/kVEM (11/11/'25)</t>
  </si>
  <si>
    <t>0,838 €/kg DVE (11/11/'25)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</si>
</sst>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b/>
      <sz val="11"/>
      <name val="Calibri"/>
      <family val="2"/>
      <scheme val="minor"/>
    </font>
    <font>
      <b/>
      <sz val="11"/>
      <color theme="0"/>
      <name val="Calibri"/>
      <family val="2"/>
      <scheme val="minor"/>
    </font>
    <font>
      <sz val="11"/>
      <color theme="0"/>
      <name val="Calibri"/>
      <family val="2"/>
      <scheme val="minor"/>
    </font>
    <font>
      <sz val="11"/>
      <color rgb="FFD0CECE"/>
      <name val="Calibri"/>
      <family val="2"/>
      <scheme val="minor"/>
    </font>
    <font>
      <b/>
      <sz val="15"/>
      <color theme="1"/>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B050"/>
        <bgColor indexed="64"/>
      </patternFill>
    </fill>
    <fill>
      <patternFill patternType="solid">
        <fgColor rgb="FF00B0F0"/>
        <bgColor indexed="64"/>
      </patternFill>
    </fill>
    <fill>
      <patternFill patternType="solid">
        <fgColor rgb="FFFFBDBD"/>
        <bgColor indexed="64"/>
      </patternFill>
    </fill>
    <fill>
      <patternFill patternType="solid">
        <fgColor rgb="FFAFFFD3"/>
        <bgColor indexed="64"/>
      </patternFill>
    </fill>
    <fill>
      <patternFill patternType="solid">
        <fgColor rgb="FF79D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6" tint="0.59999389629810485"/>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81">
    <xf numFmtId="0" fontId="0" fillId="0" borderId="0" xfId="0"/>
    <xf numFmtId="0" fontId="2" fillId="0" borderId="0" xfId="0" applyFont="1"/>
    <xf numFmtId="0" fontId="0" fillId="6" borderId="2" xfId="0" applyFill="1" applyBorder="1"/>
    <xf numFmtId="0" fontId="0" fillId="6" borderId="5" xfId="0" applyFill="1" applyBorder="1"/>
    <xf numFmtId="0" fontId="0" fillId="0" borderId="5" xfId="0" applyBorder="1"/>
    <xf numFmtId="0" fontId="0" fillId="9" borderId="2" xfId="0" applyFill="1" applyBorder="1"/>
    <xf numFmtId="0" fontId="0" fillId="8" borderId="0" xfId="0" applyFill="1"/>
    <xf numFmtId="0" fontId="0" fillId="7" borderId="13" xfId="0" applyFill="1" applyBorder="1"/>
    <xf numFmtId="0" fontId="0" fillId="7" borderId="5" xfId="0" applyFill="1" applyBorder="1"/>
    <xf numFmtId="0" fontId="0" fillId="7" borderId="15" xfId="0" applyFill="1" applyBorder="1"/>
    <xf numFmtId="0" fontId="0" fillId="7" borderId="6" xfId="0" applyFill="1" applyBorder="1"/>
    <xf numFmtId="0" fontId="0" fillId="9" borderId="3" xfId="0" applyFill="1" applyBorder="1"/>
    <xf numFmtId="0" fontId="1" fillId="3" borderId="13" xfId="0" applyFont="1" applyFill="1" applyBorder="1"/>
    <xf numFmtId="0" fontId="0" fillId="8" borderId="2" xfId="0" applyFill="1" applyBorder="1"/>
    <xf numFmtId="0" fontId="0" fillId="8" borderId="4" xfId="0" applyFill="1" applyBorder="1"/>
    <xf numFmtId="0" fontId="0" fillId="8" borderId="15" xfId="0" applyFill="1" applyBorder="1"/>
    <xf numFmtId="0" fontId="0" fillId="8" borderId="6" xfId="0" applyFill="1" applyBorder="1"/>
    <xf numFmtId="0" fontId="0" fillId="8" borderId="13" xfId="0" applyFill="1" applyBorder="1"/>
    <xf numFmtId="0" fontId="1" fillId="8" borderId="13" xfId="0" applyFont="1" applyFill="1" applyBorder="1"/>
    <xf numFmtId="0" fontId="0" fillId="8" borderId="5" xfId="0" applyFill="1" applyBorder="1"/>
    <xf numFmtId="0" fontId="4" fillId="0" borderId="13" xfId="0" applyFont="1" applyBorder="1"/>
    <xf numFmtId="0" fontId="0" fillId="8" borderId="7" xfId="0" applyFill="1" applyBorder="1"/>
    <xf numFmtId="0" fontId="0" fillId="8" borderId="15" xfId="0" applyFill="1" applyBorder="1" applyAlignment="1">
      <alignment horizontal="left"/>
    </xf>
    <xf numFmtId="0" fontId="1" fillId="0" borderId="15" xfId="0" applyFont="1" applyBorder="1"/>
    <xf numFmtId="0" fontId="0" fillId="0" borderId="6" xfId="0" applyBorder="1"/>
    <xf numFmtId="0" fontId="1" fillId="0" borderId="7" xfId="0" applyFont="1" applyBorder="1"/>
    <xf numFmtId="0" fontId="0" fillId="3" borderId="2" xfId="0" applyFill="1" applyBorder="1"/>
    <xf numFmtId="0" fontId="0" fillId="0" borderId="9" xfId="0" applyBorder="1"/>
    <xf numFmtId="0" fontId="0" fillId="0" borderId="10" xfId="0" applyBorder="1"/>
    <xf numFmtId="0" fontId="0" fillId="0" borderId="15" xfId="0" applyBorder="1" applyAlignment="1">
      <alignment horizontal="right"/>
    </xf>
    <xf numFmtId="0" fontId="0" fillId="8" borderId="0" xfId="0" applyFill="1" applyAlignment="1">
      <alignment horizontal="left"/>
    </xf>
    <xf numFmtId="1" fontId="0" fillId="0" borderId="6" xfId="0" applyNumberFormat="1" applyBorder="1" applyAlignment="1">
      <alignment horizontal="right"/>
    </xf>
    <xf numFmtId="0" fontId="0" fillId="8" borderId="7" xfId="0" applyFill="1" applyBorder="1" applyAlignment="1">
      <alignment horizontal="left"/>
    </xf>
    <xf numFmtId="0" fontId="0" fillId="11" borderId="20" xfId="0" applyFill="1" applyBorder="1"/>
    <xf numFmtId="0" fontId="1" fillId="11" borderId="1" xfId="0" applyFont="1" applyFill="1" applyBorder="1" applyAlignment="1">
      <alignment horizontal="center"/>
    </xf>
    <xf numFmtId="0" fontId="0" fillId="11" borderId="11" xfId="0" applyFill="1" applyBorder="1" applyAlignment="1">
      <alignment horizontal="right"/>
    </xf>
    <xf numFmtId="0" fontId="0" fillId="11" borderId="20" xfId="0" applyFill="1" applyBorder="1" applyAlignment="1">
      <alignment horizontal="right"/>
    </xf>
    <xf numFmtId="0" fontId="0" fillId="11" borderId="12" xfId="0" applyFill="1" applyBorder="1" applyAlignment="1">
      <alignment horizontal="right"/>
    </xf>
    <xf numFmtId="0" fontId="0" fillId="11" borderId="20" xfId="0" applyFill="1" applyBorder="1" applyAlignment="1">
      <alignment horizontal="center"/>
    </xf>
    <xf numFmtId="0" fontId="0" fillId="11" borderId="20" xfId="0" applyFill="1" applyBorder="1" applyAlignment="1">
      <alignment horizontal="left"/>
    </xf>
    <xf numFmtId="0" fontId="0" fillId="6" borderId="6" xfId="0" applyFill="1" applyBorder="1"/>
    <xf numFmtId="0" fontId="0" fillId="8" borderId="6" xfId="0" applyFill="1" applyBorder="1" applyAlignment="1">
      <alignment horizontal="left"/>
    </xf>
    <xf numFmtId="0" fontId="1" fillId="11" borderId="20" xfId="0" applyFont="1" applyFill="1" applyBorder="1" applyAlignment="1">
      <alignment horizontal="center"/>
    </xf>
    <xf numFmtId="0" fontId="0" fillId="4" borderId="5" xfId="0" applyFill="1" applyBorder="1"/>
    <xf numFmtId="0" fontId="1" fillId="11" borderId="11" xfId="0" applyFont="1" applyFill="1" applyBorder="1"/>
    <xf numFmtId="0" fontId="1" fillId="11" borderId="1" xfId="0" applyFont="1" applyFill="1" applyBorder="1"/>
    <xf numFmtId="0" fontId="1" fillId="11" borderId="20" xfId="0" applyFont="1" applyFill="1" applyBorder="1" applyAlignment="1">
      <alignment horizontal="right"/>
    </xf>
    <xf numFmtId="0" fontId="0" fillId="0" borderId="16" xfId="0" applyBorder="1"/>
    <xf numFmtId="0" fontId="0" fillId="12" borderId="20" xfId="0" applyFill="1" applyBorder="1" applyAlignment="1">
      <alignment horizontal="right"/>
    </xf>
    <xf numFmtId="0" fontId="0" fillId="13" borderId="2" xfId="0" applyFill="1" applyBorder="1"/>
    <xf numFmtId="0" fontId="0" fillId="13" borderId="3" xfId="0" applyFill="1" applyBorder="1"/>
    <xf numFmtId="0" fontId="0" fillId="3" borderId="5" xfId="0" applyFill="1" applyBorder="1"/>
    <xf numFmtId="0" fontId="0" fillId="14" borderId="0" xfId="0" applyFill="1"/>
    <xf numFmtId="0" fontId="6" fillId="14" borderId="0" xfId="0" applyFont="1" applyFill="1"/>
    <xf numFmtId="1" fontId="6" fillId="14" borderId="0" xfId="0" applyNumberFormat="1" applyFont="1" applyFill="1"/>
    <xf numFmtId="0" fontId="5" fillId="14" borderId="0" xfId="0" applyFont="1" applyFill="1"/>
    <xf numFmtId="0" fontId="0" fillId="2" borderId="14" xfId="0" applyFill="1" applyBorder="1" applyProtection="1">
      <protection locked="0"/>
    </xf>
    <xf numFmtId="0" fontId="0" fillId="0" borderId="3" xfId="0" applyBorder="1" applyProtection="1">
      <protection locked="0"/>
    </xf>
    <xf numFmtId="0" fontId="0" fillId="2" borderId="5" xfId="0" applyFill="1" applyBorder="1" applyProtection="1">
      <protection locked="0"/>
    </xf>
    <xf numFmtId="0" fontId="0" fillId="2" borderId="0" xfId="0" applyFill="1" applyProtection="1">
      <protection locked="0"/>
    </xf>
    <xf numFmtId="0" fontId="0" fillId="0" borderId="5" xfId="0" applyBorder="1" applyProtection="1">
      <protection locked="0"/>
    </xf>
    <xf numFmtId="0" fontId="0" fillId="0" borderId="16" xfId="0" applyBorder="1" applyProtection="1">
      <protection locked="0"/>
    </xf>
    <xf numFmtId="0" fontId="6" fillId="14" borderId="22" xfId="0" applyFont="1" applyFill="1" applyBorder="1"/>
    <xf numFmtId="0" fontId="0" fillId="6" borderId="16" xfId="0" applyFill="1" applyBorder="1"/>
    <xf numFmtId="0" fontId="0" fillId="6" borderId="8" xfId="0" applyFill="1" applyBorder="1"/>
    <xf numFmtId="0" fontId="0" fillId="6" borderId="0" xfId="0" applyFill="1"/>
    <xf numFmtId="0" fontId="0" fillId="3" borderId="0" xfId="0" applyFill="1"/>
    <xf numFmtId="0" fontId="0" fillId="7" borderId="16" xfId="0" applyFill="1" applyBorder="1"/>
    <xf numFmtId="0" fontId="0" fillId="7" borderId="8" xfId="0" applyFill="1" applyBorder="1"/>
    <xf numFmtId="0" fontId="0" fillId="7" borderId="0" xfId="0" applyFill="1"/>
    <xf numFmtId="0" fontId="0" fillId="0" borderId="8" xfId="0" applyBorder="1"/>
    <xf numFmtId="0" fontId="0" fillId="0" borderId="0" xfId="0" applyProtection="1">
      <protection locked="0"/>
    </xf>
    <xf numFmtId="0" fontId="0" fillId="8" borderId="0" xfId="0" applyFill="1" applyAlignment="1">
      <alignment horizontal="right"/>
    </xf>
    <xf numFmtId="0" fontId="0" fillId="14" borderId="8" xfId="0" applyFill="1" applyBorder="1"/>
    <xf numFmtId="0" fontId="0" fillId="2" borderId="4" xfId="0" applyFill="1" applyBorder="1" applyProtection="1">
      <protection locked="0"/>
    </xf>
    <xf numFmtId="0" fontId="0" fillId="2" borderId="13" xfId="0" applyFill="1" applyBorder="1" applyProtection="1">
      <protection locked="0"/>
    </xf>
    <xf numFmtId="0" fontId="0" fillId="2" borderId="6" xfId="0" applyFill="1" applyBorder="1" applyProtection="1">
      <protection locked="0"/>
    </xf>
    <xf numFmtId="0" fontId="0" fillId="2" borderId="0" xfId="0" applyFill="1" applyAlignment="1" applyProtection="1">
      <alignment horizontal="right"/>
      <protection locked="0"/>
    </xf>
    <xf numFmtId="0" fontId="0" fillId="2" borderId="6" xfId="0" applyFill="1" applyBorder="1" applyAlignment="1" applyProtection="1">
      <alignment horizontal="right"/>
      <protection locked="0"/>
    </xf>
    <xf numFmtId="0" fontId="0" fillId="2" borderId="2" xfId="0" applyFill="1" applyBorder="1" applyProtection="1">
      <protection locked="0"/>
    </xf>
    <xf numFmtId="0" fontId="0" fillId="14" borderId="27" xfId="0" applyFill="1" applyBorder="1"/>
    <xf numFmtId="0" fontId="6" fillId="12" borderId="20" xfId="0" applyFont="1" applyFill="1" applyBorder="1"/>
    <xf numFmtId="0" fontId="7" fillId="12" borderId="20" xfId="0" applyFont="1" applyFill="1" applyBorder="1"/>
    <xf numFmtId="0" fontId="6" fillId="12" borderId="12" xfId="0" applyFont="1" applyFill="1" applyBorder="1"/>
    <xf numFmtId="0" fontId="6" fillId="14" borderId="3" xfId="0" applyFont="1" applyFill="1" applyBorder="1"/>
    <xf numFmtId="0" fontId="0" fillId="9" borderId="13" xfId="0" applyFill="1" applyBorder="1"/>
    <xf numFmtId="0" fontId="0" fillId="0" borderId="2" xfId="0" applyBorder="1"/>
    <xf numFmtId="0" fontId="0" fillId="14" borderId="28" xfId="0" applyFill="1" applyBorder="1"/>
    <xf numFmtId="0" fontId="0" fillId="8" borderId="0" xfId="0" applyFill="1" applyAlignment="1">
      <alignment horizontal="center"/>
    </xf>
    <xf numFmtId="0" fontId="1" fillId="8" borderId="0" xfId="0" applyFont="1" applyFill="1" applyAlignment="1">
      <alignment horizontal="center"/>
    </xf>
    <xf numFmtId="0" fontId="0" fillId="8" borderId="7" xfId="0" applyFill="1" applyBorder="1" applyAlignment="1">
      <alignment horizontal="right"/>
    </xf>
    <xf numFmtId="0" fontId="0" fillId="8" borderId="15" xfId="0" applyFill="1" applyBorder="1" applyAlignment="1">
      <alignment horizontal="right"/>
    </xf>
    <xf numFmtId="0" fontId="1" fillId="8" borderId="28" xfId="0" applyFont="1" applyFill="1" applyBorder="1" applyAlignment="1">
      <alignment horizontal="center"/>
    </xf>
    <xf numFmtId="0" fontId="0" fillId="11" borderId="12" xfId="0" applyFill="1" applyBorder="1"/>
    <xf numFmtId="0" fontId="2" fillId="14" borderId="0" xfId="0" applyFont="1" applyFill="1"/>
    <xf numFmtId="0" fontId="1" fillId="0" borderId="0" xfId="0" applyFont="1"/>
    <xf numFmtId="0" fontId="3" fillId="0" borderId="0" xfId="0" applyFont="1"/>
    <xf numFmtId="0" fontId="0" fillId="2" borderId="0" xfId="0" applyFill="1" applyAlignment="1" applyProtection="1">
      <alignment horizontal="center"/>
      <protection locked="0"/>
    </xf>
    <xf numFmtId="0" fontId="0" fillId="2" borderId="6" xfId="0" applyFill="1" applyBorder="1" applyAlignment="1" applyProtection="1">
      <alignment horizontal="center"/>
      <protection locked="0"/>
    </xf>
    <xf numFmtId="0" fontId="0" fillId="0" borderId="0" xfId="0" applyAlignment="1">
      <alignment horizontal="left" vertical="top" wrapText="1"/>
    </xf>
    <xf numFmtId="0" fontId="0" fillId="8" borderId="8" xfId="0" applyFill="1" applyBorder="1" applyAlignment="1">
      <alignment horizontal="right"/>
    </xf>
    <xf numFmtId="0" fontId="0" fillId="8" borderId="0" xfId="0" applyFill="1" applyAlignment="1">
      <alignment horizontal="right"/>
    </xf>
    <xf numFmtId="0" fontId="0" fillId="0" borderId="23" xfId="0" applyBorder="1" applyAlignment="1">
      <alignment horizontal="right"/>
    </xf>
    <xf numFmtId="0" fontId="0" fillId="0" borderId="6" xfId="0" applyBorder="1" applyAlignment="1">
      <alignment horizontal="right"/>
    </xf>
    <xf numFmtId="0" fontId="0" fillId="0" borderId="26" xfId="0" applyBorder="1" applyAlignment="1">
      <alignment horizontal="center"/>
    </xf>
    <xf numFmtId="0" fontId="0" fillId="0" borderId="12" xfId="0" applyBorder="1" applyAlignment="1">
      <alignment horizontal="center"/>
    </xf>
    <xf numFmtId="0" fontId="0" fillId="0" borderId="15" xfId="0" applyBorder="1" applyAlignment="1">
      <alignment horizontal="center"/>
    </xf>
    <xf numFmtId="0" fontId="1" fillId="4" borderId="16" xfId="0" applyFont="1" applyFill="1" applyBorder="1" applyAlignment="1">
      <alignment horizontal="right"/>
    </xf>
    <xf numFmtId="0" fontId="1" fillId="4" borderId="5" xfId="0" applyFont="1" applyFill="1" applyBorder="1" applyAlignment="1">
      <alignment horizontal="right"/>
    </xf>
    <xf numFmtId="0" fontId="1" fillId="8" borderId="17" xfId="0" applyFont="1" applyFill="1" applyBorder="1" applyAlignment="1">
      <alignment horizontal="left"/>
    </xf>
    <xf numFmtId="0" fontId="1" fillId="8" borderId="4" xfId="0" applyFont="1" applyFill="1" applyBorder="1" applyAlignment="1">
      <alignment horizontal="left"/>
    </xf>
    <xf numFmtId="0" fontId="1" fillId="8" borderId="8" xfId="0" applyFont="1" applyFill="1" applyBorder="1" applyAlignment="1">
      <alignment horizontal="left"/>
    </xf>
    <xf numFmtId="0" fontId="1" fillId="8" borderId="0" xfId="0" applyFont="1" applyFill="1" applyAlignment="1">
      <alignment horizontal="left"/>
    </xf>
    <xf numFmtId="0" fontId="1" fillId="4" borderId="25" xfId="0" applyFont="1" applyFill="1" applyBorder="1" applyAlignment="1">
      <alignment horizontal="center"/>
    </xf>
    <xf numFmtId="0" fontId="1" fillId="4" borderId="11" xfId="0" applyFont="1" applyFill="1" applyBorder="1" applyAlignment="1">
      <alignment horizontal="center"/>
    </xf>
    <xf numFmtId="0" fontId="1" fillId="4" borderId="13" xfId="0" applyFont="1" applyFill="1" applyBorder="1" applyAlignment="1">
      <alignment horizontal="center"/>
    </xf>
    <xf numFmtId="0" fontId="1" fillId="5" borderId="18" xfId="0" applyFont="1" applyFill="1" applyBorder="1" applyAlignment="1">
      <alignment horizontal="center"/>
    </xf>
    <xf numFmtId="0" fontId="1" fillId="5" borderId="19" xfId="0" applyFont="1" applyFill="1" applyBorder="1" applyAlignment="1">
      <alignment horizontal="center"/>
    </xf>
    <xf numFmtId="0" fontId="1" fillId="5" borderId="21" xfId="0" applyFont="1" applyFill="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8" xfId="0" applyBorder="1" applyAlignment="1">
      <alignment horizontal="right"/>
    </xf>
    <xf numFmtId="0" fontId="0" fillId="0" borderId="0" xfId="0" applyAlignment="1">
      <alignment horizontal="right"/>
    </xf>
    <xf numFmtId="0" fontId="8" fillId="10" borderId="2" xfId="0" applyFont="1" applyFill="1" applyBorder="1" applyAlignment="1">
      <alignment horizontal="center"/>
    </xf>
    <xf numFmtId="0" fontId="8" fillId="10" borderId="4" xfId="0" applyFont="1" applyFill="1" applyBorder="1" applyAlignment="1">
      <alignment horizontal="center"/>
    </xf>
    <xf numFmtId="0" fontId="8" fillId="10" borderId="3" xfId="0" applyFont="1" applyFill="1" applyBorder="1" applyAlignment="1">
      <alignment horizontal="center"/>
    </xf>
    <xf numFmtId="0" fontId="0" fillId="9" borderId="2" xfId="0" applyFill="1" applyBorder="1" applyAlignment="1">
      <alignment horizontal="center"/>
    </xf>
    <xf numFmtId="0" fontId="0" fillId="9" borderId="4" xfId="0" applyFill="1" applyBorder="1" applyAlignment="1">
      <alignment horizontal="center"/>
    </xf>
    <xf numFmtId="0" fontId="0" fillId="9" borderId="3" xfId="0" applyFill="1" applyBorder="1" applyAlignment="1">
      <alignment horizontal="center"/>
    </xf>
    <xf numFmtId="0" fontId="1" fillId="3" borderId="8" xfId="0" applyFont="1" applyFill="1" applyBorder="1" applyAlignment="1">
      <alignment horizontal="right"/>
    </xf>
    <xf numFmtId="0" fontId="1" fillId="3" borderId="0" xfId="0" applyFont="1" applyFill="1" applyAlignment="1">
      <alignment horizontal="right"/>
    </xf>
    <xf numFmtId="0" fontId="1" fillId="3" borderId="16" xfId="0" applyFont="1" applyFill="1" applyBorder="1" applyAlignment="1">
      <alignment horizontal="right"/>
    </xf>
    <xf numFmtId="0" fontId="1" fillId="3" borderId="5" xfId="0" applyFont="1" applyFill="1" applyBorder="1" applyAlignment="1">
      <alignment horizontal="right"/>
    </xf>
    <xf numFmtId="0" fontId="1" fillId="3" borderId="25" xfId="0" applyFont="1" applyFill="1" applyBorder="1" applyAlignment="1">
      <alignment horizontal="center"/>
    </xf>
    <xf numFmtId="0" fontId="1" fillId="3" borderId="11" xfId="0" applyFont="1" applyFill="1" applyBorder="1" applyAlignment="1">
      <alignment horizontal="center"/>
    </xf>
    <xf numFmtId="0" fontId="1" fillId="3" borderId="13" xfId="0" applyFont="1" applyFill="1" applyBorder="1" applyAlignment="1">
      <alignment horizontal="center"/>
    </xf>
    <xf numFmtId="0" fontId="0" fillId="6" borderId="24" xfId="0" applyFill="1" applyBorder="1" applyAlignment="1">
      <alignment horizontal="center"/>
    </xf>
    <xf numFmtId="0" fontId="0" fillId="6" borderId="1" xfId="0" applyFill="1" applyBorder="1" applyAlignment="1">
      <alignment horizontal="center"/>
    </xf>
    <xf numFmtId="0" fontId="0" fillId="6" borderId="2" xfId="0" applyFill="1" applyBorder="1" applyAlignment="1">
      <alignment horizontal="center"/>
    </xf>
    <xf numFmtId="0" fontId="1" fillId="14" borderId="7" xfId="0" applyFont="1" applyFill="1" applyBorder="1" applyAlignment="1">
      <alignment horizontal="center"/>
    </xf>
    <xf numFmtId="0" fontId="1" fillId="14" borderId="0" xfId="0" applyFont="1" applyFill="1" applyAlignment="1">
      <alignment horizontal="center"/>
    </xf>
    <xf numFmtId="0" fontId="3" fillId="14" borderId="7" xfId="0" applyFont="1" applyFill="1" applyBorder="1" applyAlignment="1">
      <alignment horizontal="center"/>
    </xf>
    <xf numFmtId="0" fontId="3" fillId="14" borderId="0" xfId="0" applyFont="1" applyFill="1" applyAlignment="1">
      <alignment horizontal="center"/>
    </xf>
    <xf numFmtId="0" fontId="0" fillId="14" borderId="15" xfId="0" applyFill="1" applyBorder="1" applyAlignment="1">
      <alignment horizontal="center"/>
    </xf>
    <xf numFmtId="0" fontId="0" fillId="14" borderId="6" xfId="0" applyFill="1" applyBorder="1" applyAlignment="1">
      <alignment horizontal="center"/>
    </xf>
    <xf numFmtId="0" fontId="0" fillId="14" borderId="0" xfId="0" applyFill="1" applyAlignment="1">
      <alignment horizontal="center"/>
    </xf>
    <xf numFmtId="0" fontId="1" fillId="3" borderId="24" xfId="0" applyFont="1" applyFill="1" applyBorder="1" applyAlignment="1">
      <alignment horizontal="center"/>
    </xf>
    <xf numFmtId="0" fontId="1" fillId="3" borderId="1" xfId="0" applyFont="1" applyFill="1" applyBorder="1" applyAlignment="1">
      <alignment horizontal="center"/>
    </xf>
    <xf numFmtId="0" fontId="1" fillId="3" borderId="2" xfId="0" applyFont="1" applyFill="1" applyBorder="1" applyAlignment="1">
      <alignment horizontal="center"/>
    </xf>
    <xf numFmtId="0" fontId="0" fillId="9" borderId="2" xfId="0" applyFill="1" applyBorder="1" applyAlignment="1">
      <alignment horizontal="center" wrapText="1"/>
    </xf>
    <xf numFmtId="0" fontId="0" fillId="9" borderId="4" xfId="0" applyFill="1" applyBorder="1" applyAlignment="1">
      <alignment horizontal="center" wrapText="1"/>
    </xf>
    <xf numFmtId="0" fontId="0" fillId="9" borderId="3" xfId="0" applyFill="1" applyBorder="1" applyAlignment="1">
      <alignment horizontal="center" wrapText="1"/>
    </xf>
    <xf numFmtId="0" fontId="0" fillId="14" borderId="2" xfId="0" applyFill="1" applyBorder="1" applyAlignment="1">
      <alignment horizontal="center"/>
    </xf>
    <xf numFmtId="0" fontId="0" fillId="14" borderId="4" xfId="0" applyFill="1" applyBorder="1" applyAlignment="1">
      <alignment horizontal="center"/>
    </xf>
    <xf numFmtId="0" fontId="0" fillId="14" borderId="3" xfId="0" applyFill="1" applyBorder="1" applyAlignment="1">
      <alignment horizontal="center"/>
    </xf>
    <xf numFmtId="0" fontId="0" fillId="14" borderId="13" xfId="0" applyFill="1" applyBorder="1" applyAlignment="1">
      <alignment horizontal="center"/>
    </xf>
    <xf numFmtId="0" fontId="0" fillId="14" borderId="5" xfId="0" applyFill="1" applyBorder="1" applyAlignment="1">
      <alignment horizontal="center"/>
    </xf>
    <xf numFmtId="0" fontId="0" fillId="14" borderId="14" xfId="0" applyFill="1" applyBorder="1" applyAlignment="1">
      <alignment horizontal="center"/>
    </xf>
    <xf numFmtId="0" fontId="0" fillId="14" borderId="28" xfId="0" applyFill="1" applyBorder="1" applyAlignment="1">
      <alignment horizontal="center"/>
    </xf>
    <xf numFmtId="0" fontId="0" fillId="0" borderId="7" xfId="0" applyBorder="1" applyAlignment="1">
      <alignment horizontal="right"/>
    </xf>
    <xf numFmtId="0" fontId="0" fillId="6" borderId="15" xfId="0" applyFill="1" applyBorder="1" applyAlignment="1">
      <alignment horizontal="right"/>
    </xf>
    <xf numFmtId="0" fontId="0" fillId="6" borderId="6" xfId="0" applyFill="1" applyBorder="1" applyAlignment="1">
      <alignment horizontal="right"/>
    </xf>
    <xf numFmtId="0" fontId="1" fillId="5" borderId="2" xfId="0" applyFont="1" applyFill="1" applyBorder="1" applyAlignment="1">
      <alignment horizontal="center"/>
    </xf>
    <xf numFmtId="0" fontId="1" fillId="5" borderId="4" xfId="0" applyFont="1" applyFill="1" applyBorder="1" applyAlignment="1">
      <alignment horizontal="center"/>
    </xf>
    <xf numFmtId="0" fontId="1" fillId="3" borderId="4" xfId="0" applyFont="1" applyFill="1" applyBorder="1" applyAlignment="1">
      <alignment horizontal="center"/>
    </xf>
    <xf numFmtId="0" fontId="1" fillId="5" borderId="13" xfId="0" applyFont="1" applyFill="1" applyBorder="1" applyAlignment="1">
      <alignment horizontal="center"/>
    </xf>
    <xf numFmtId="0" fontId="1" fillId="5" borderId="5" xfId="0" applyFont="1" applyFill="1" applyBorder="1" applyAlignment="1">
      <alignment horizontal="center"/>
    </xf>
    <xf numFmtId="0" fontId="8" fillId="10" borderId="13" xfId="0" applyFont="1" applyFill="1" applyBorder="1" applyAlignment="1">
      <alignment horizontal="center"/>
    </xf>
    <xf numFmtId="0" fontId="8" fillId="10" borderId="5" xfId="0" applyFont="1" applyFill="1" applyBorder="1" applyAlignment="1">
      <alignment horizontal="center"/>
    </xf>
    <xf numFmtId="0" fontId="8" fillId="10" borderId="14" xfId="0" applyFont="1" applyFill="1" applyBorder="1" applyAlignment="1">
      <alignment horizontal="center"/>
    </xf>
    <xf numFmtId="0" fontId="0" fillId="9" borderId="15" xfId="0" applyFill="1" applyBorder="1" applyAlignment="1">
      <alignment horizontal="center"/>
    </xf>
    <xf numFmtId="0" fontId="0" fillId="9" borderId="6" xfId="0" applyFill="1" applyBorder="1" applyAlignment="1">
      <alignment horizontal="center"/>
    </xf>
    <xf numFmtId="0" fontId="0" fillId="9" borderId="28" xfId="0" applyFill="1" applyBorder="1" applyAlignment="1">
      <alignment horizontal="center"/>
    </xf>
    <xf numFmtId="0" fontId="0" fillId="4" borderId="2" xfId="0" applyFill="1" applyBorder="1" applyAlignment="1">
      <alignment horizontal="center"/>
    </xf>
    <xf numFmtId="0" fontId="0" fillId="4" borderId="4" xfId="0" applyFill="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14" borderId="2" xfId="0" applyFont="1" applyFill="1" applyBorder="1" applyAlignment="1">
      <alignment horizontal="center"/>
    </xf>
    <xf numFmtId="0" fontId="1" fillId="14" borderId="4" xfId="0" applyFont="1" applyFill="1" applyBorder="1" applyAlignment="1">
      <alignment horizontal="center"/>
    </xf>
    <xf numFmtId="0" fontId="0" fillId="0" borderId="4" xfId="0" applyBorder="1" applyAlignment="1">
      <alignment horizontal="center"/>
    </xf>
    <xf numFmtId="0" fontId="0" fillId="0" borderId="5" xfId="0" applyBorder="1" applyAlignment="1">
      <alignment horizontal="center"/>
    </xf>
  </cellXfs>
  <cellStyles count="1">
    <cellStyle name="Standaard" xfId="0" builtinId="0"/>
  </cellStyles>
  <dxfs count="84">
    <dxf>
      <font>
        <color rgb="FF00B050"/>
      </font>
      <fill>
        <patternFill>
          <bgColor rgb="FFAFFFD3"/>
        </patternFill>
      </fill>
    </dxf>
    <dxf>
      <font>
        <color rgb="FFFF0000"/>
      </font>
      <fill>
        <patternFill>
          <bgColor rgb="FFFFBDBD"/>
        </patternFill>
      </fill>
    </dxf>
    <dxf>
      <fill>
        <patternFill>
          <bgColor rgb="FF00B050"/>
        </patternFill>
      </fill>
    </dxf>
    <dxf>
      <fill>
        <patternFill>
          <bgColor rgb="FFFF0000"/>
        </patternFill>
      </fill>
    </dxf>
    <dxf>
      <font>
        <color rgb="FF9C0006"/>
      </font>
      <fill>
        <patternFill>
          <bgColor rgb="FFFFC7CE"/>
        </patternFill>
      </fill>
    </dxf>
    <dxf>
      <font>
        <color rgb="FF006100"/>
      </font>
      <fill>
        <patternFill>
          <bgColor rgb="FFC6EFCE"/>
        </patternFill>
      </fill>
    </dxf>
    <dxf>
      <font>
        <color rgb="FFD0CECE"/>
      </font>
      <fill>
        <patternFill>
          <bgColor rgb="FFD0CECE"/>
        </patternFill>
      </fill>
    </dxf>
    <dxf>
      <font>
        <color rgb="FFD0CECE"/>
      </font>
      <fill>
        <patternFill>
          <bgColor rgb="FFD0CECE"/>
        </patternFill>
      </fill>
    </dxf>
    <dxf>
      <font>
        <color rgb="FFD0CECE"/>
      </font>
    </dxf>
    <dxf>
      <font>
        <color rgb="FFD0CECE"/>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006100"/>
      </font>
      <fill>
        <patternFill>
          <bgColor rgb="FFC6EFCE"/>
        </patternFill>
      </fill>
    </dxf>
    <dxf>
      <font>
        <color rgb="FF9C0006"/>
      </font>
      <fill>
        <patternFill>
          <bgColor rgb="FFFFC7CE"/>
        </patternFill>
      </fill>
    </dxf>
    <dxf>
      <fill>
        <patternFill>
          <bgColor rgb="FF79DCFF"/>
        </patternFill>
      </fill>
    </dxf>
    <dxf>
      <fill>
        <patternFill>
          <bgColor rgb="FF79DCFF"/>
        </patternFill>
      </fill>
    </dxf>
    <dxf>
      <fill>
        <patternFill>
          <bgColor rgb="FF79DCFF"/>
        </patternFill>
      </fill>
    </dxf>
    <dxf>
      <fill>
        <patternFill>
          <bgColor rgb="FF79DCFF"/>
        </patternFill>
      </fill>
    </dxf>
    <dxf>
      <font>
        <color rgb="FF006100"/>
      </font>
      <fill>
        <patternFill>
          <bgColor rgb="FFC6EFCE"/>
        </patternFill>
      </fill>
    </dxf>
    <dxf>
      <font>
        <color rgb="FF9C0006"/>
      </font>
      <fill>
        <patternFill>
          <bgColor rgb="FFFFC7CE"/>
        </patternFill>
      </fill>
    </dxf>
    <dxf>
      <font>
        <color rgb="FF00B050"/>
      </font>
      <fill>
        <patternFill>
          <bgColor rgb="FF5DFFA6"/>
        </patternFill>
      </fill>
    </dxf>
    <dxf>
      <font>
        <color rgb="FFFF0000"/>
      </font>
      <fill>
        <patternFill>
          <bgColor rgb="FFFFBDBD"/>
        </patternFill>
      </fill>
    </dxf>
    <dxf>
      <font>
        <color rgb="FF00B050"/>
      </font>
      <fill>
        <patternFill>
          <bgColor rgb="FF5DFFA6"/>
        </patternFill>
      </fill>
    </dxf>
    <dxf>
      <font>
        <color rgb="FFFF0000"/>
      </font>
      <fill>
        <patternFill>
          <bgColor rgb="FFFFBDBD"/>
        </patternFill>
      </fill>
    </dxf>
    <dxf>
      <font>
        <color rgb="FFFF0000"/>
      </font>
      <fill>
        <patternFill>
          <bgColor rgb="FFFFBDBD"/>
        </patternFill>
      </fill>
    </dxf>
    <dxf>
      <font>
        <color rgb="FF00B050"/>
      </font>
      <fill>
        <patternFill>
          <bgColor rgb="FF5DFFA6"/>
        </patternFill>
      </fill>
    </dxf>
    <dxf>
      <font>
        <color rgb="FF00B050"/>
      </font>
      <fill>
        <patternFill>
          <bgColor rgb="FF5DFFA6"/>
        </patternFill>
      </fill>
    </dxf>
    <dxf>
      <font>
        <color rgb="FFFF0000"/>
      </font>
      <fill>
        <patternFill>
          <bgColor rgb="FFFFBDBD"/>
        </patternFill>
      </fill>
    </dxf>
    <dxf>
      <font>
        <color rgb="FFFF0000"/>
      </font>
      <fill>
        <patternFill>
          <bgColor rgb="FFFFBDBD"/>
        </patternFill>
      </fill>
    </dxf>
    <dxf>
      <font>
        <color rgb="FF00B050"/>
      </font>
      <fill>
        <patternFill>
          <bgColor rgb="FF5DFFA6"/>
        </patternFill>
      </fill>
    </dxf>
    <dxf>
      <font>
        <color rgb="FF9C0006"/>
      </font>
      <fill>
        <patternFill>
          <bgColor rgb="FFFFC7CE"/>
        </patternFill>
      </fill>
    </dxf>
    <dxf>
      <font>
        <color rgb="FF006100"/>
      </font>
      <fill>
        <patternFill>
          <bgColor rgb="FFC6EFCE"/>
        </patternFill>
      </fill>
    </dxf>
    <dxf>
      <font>
        <color rgb="FF00B050"/>
      </font>
      <fill>
        <patternFill>
          <bgColor rgb="FF5DFFA6"/>
        </patternFill>
      </fill>
    </dxf>
    <dxf>
      <font>
        <color rgb="FFFF0000"/>
      </font>
      <fill>
        <patternFill>
          <bgColor rgb="FFFFBDBD"/>
        </patternFill>
      </fill>
    </dxf>
    <dxf>
      <font>
        <color rgb="FFFFBDBD"/>
      </font>
    </dxf>
    <dxf>
      <font>
        <color rgb="FFFFBDBD"/>
      </font>
    </dxf>
    <dxf>
      <font>
        <color rgb="FFD0CECE"/>
      </font>
      <fill>
        <patternFill>
          <bgColor rgb="FFD0CECE"/>
        </patternFill>
      </fill>
    </dxf>
    <dxf>
      <fill>
        <patternFill>
          <bgColor rgb="FF79DCFF"/>
        </patternFill>
      </fill>
    </dxf>
    <dxf>
      <font>
        <color theme="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79DCFF"/>
      </font>
      <fill>
        <patternFill>
          <bgColor rgb="FF79DCFF"/>
        </patternFill>
      </fill>
    </dxf>
    <dxf>
      <font>
        <color rgb="FF79DCFF"/>
      </font>
      <fill>
        <patternFill>
          <bgColor rgb="FF79DCFF"/>
        </patternFill>
      </fill>
    </dxf>
    <dxf>
      <font>
        <color rgb="FFAFFFD3"/>
      </font>
      <fill>
        <patternFill>
          <bgColor rgb="FFAFFFD3"/>
        </patternFill>
      </fill>
    </dxf>
    <dxf>
      <font>
        <color rgb="FFAFFFD3"/>
      </font>
      <fill>
        <patternFill>
          <bgColor rgb="FFAFFFD3"/>
        </patternFill>
      </fill>
    </dxf>
    <dxf>
      <font>
        <color rgb="FFAFFFD3"/>
      </font>
      <fill>
        <patternFill>
          <bgColor rgb="FFAFFFD3"/>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ont>
        <color rgb="FFFFBDBD"/>
      </font>
      <fill>
        <patternFill>
          <bgColor rgb="FFFFBDBD"/>
        </patternFill>
      </fill>
    </dxf>
    <dxf>
      <fill>
        <patternFill>
          <bgColor rgb="FF79DCFF"/>
        </patternFill>
      </fill>
    </dxf>
    <dxf>
      <fill>
        <patternFill>
          <bgColor rgb="FFAFFFD3"/>
        </patternFill>
      </fill>
    </dxf>
    <dxf>
      <fill>
        <patternFill>
          <bgColor rgb="FFAFFFD3"/>
        </patternFill>
      </fill>
    </dxf>
    <dxf>
      <fill>
        <patternFill>
          <bgColor rgb="FFFFBDBD"/>
        </patternFill>
      </fill>
    </dxf>
    <dxf>
      <fill>
        <patternFill>
          <bgColor rgb="FFFFBDBD"/>
        </patternFill>
      </fill>
    </dxf>
    <dxf>
      <fill>
        <patternFill>
          <bgColor rgb="FFFFBDBD"/>
        </patternFill>
      </fill>
    </dxf>
    <dxf>
      <font>
        <color theme="0"/>
      </font>
    </dxf>
    <dxf>
      <font>
        <color theme="0"/>
      </font>
      <fill>
        <patternFill>
          <bgColor theme="0"/>
        </patternFill>
      </fill>
    </dxf>
    <dxf>
      <font>
        <color theme="0"/>
      </font>
    </dxf>
    <dxf>
      <fill>
        <patternFill>
          <bgColor rgb="FFFFFF00"/>
        </patternFill>
      </fill>
    </dxf>
    <dxf>
      <fill>
        <patternFill>
          <bgColor rgb="FF79DCFF"/>
        </patternFill>
      </fill>
    </dxf>
    <dxf>
      <fill>
        <patternFill>
          <bgColor rgb="FFAFFFD3"/>
        </patternFill>
      </fill>
    </dxf>
    <dxf>
      <fill>
        <patternFill>
          <bgColor rgb="FFAFFFD3"/>
        </patternFill>
      </fill>
    </dxf>
    <dxf>
      <fill>
        <patternFill>
          <bgColor rgb="FFFFBDBD"/>
        </patternFill>
      </fill>
    </dxf>
    <dxf>
      <fill>
        <patternFill>
          <bgColor rgb="FFFFBDBD"/>
        </patternFill>
      </fill>
    </dxf>
    <dxf>
      <fill>
        <patternFill>
          <bgColor rgb="FFFFBDBD"/>
        </patternFill>
      </fill>
    </dxf>
    <dxf>
      <fill>
        <patternFill>
          <bgColor theme="0" tint="-0.14996795556505021"/>
        </patternFill>
      </fill>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s>
  <tableStyles count="0" defaultTableStyle="TableStyleMedium2" defaultPivotStyle="PivotStyleLight16"/>
  <colors>
    <mruColors>
      <color rgb="FF79DCFF"/>
      <color rgb="FF79FFFF"/>
      <color rgb="FF5DFFA6"/>
      <color rgb="FFAFFFD3"/>
      <color rgb="FFA80000"/>
      <color rgb="FFD20000"/>
      <color rgb="FFFFBDBD"/>
      <color rgb="FFFF5757"/>
      <color rgb="FF8E0000"/>
      <color rgb="FFD0C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3.png"/><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6.jpg"/><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image" Target="../media/image7.png"/><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r>
              <a:rPr lang="nl-BE" sz="1500" u="sng">
                <a:solidFill>
                  <a:schemeClr val="tx1"/>
                </a:solidFill>
              </a:rPr>
              <a:t>Financieel</a:t>
            </a:r>
            <a:r>
              <a:rPr lang="nl-BE" sz="1500" u="sng" baseline="0">
                <a:solidFill>
                  <a:schemeClr val="tx1"/>
                </a:solidFill>
              </a:rPr>
              <a:t> o</a:t>
            </a:r>
            <a:r>
              <a:rPr lang="nl-BE" sz="1500" u="sng">
                <a:solidFill>
                  <a:schemeClr val="tx1"/>
                </a:solidFill>
              </a:rPr>
              <a:t>verzicht veldbonenteelt</a:t>
            </a:r>
          </a:p>
        </c:rich>
      </c:tx>
      <c:overlay val="0"/>
      <c:spPr>
        <a:noFill/>
        <a:ln>
          <a:noFill/>
        </a:ln>
        <a:effectLst/>
      </c:spPr>
      <c:txPr>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endParaRPr lang="nl-BE"/>
        </a:p>
      </c:txPr>
    </c:title>
    <c:autoTitleDeleted val="0"/>
    <c:plotArea>
      <c:layout/>
      <c:barChart>
        <c:barDir val="col"/>
        <c:grouping val="stacked"/>
        <c:varyColors val="0"/>
        <c:ser>
          <c:idx val="0"/>
          <c:order val="0"/>
          <c:tx>
            <c:strRef>
              <c:f>Teelt!$F$2</c:f>
              <c:strCache>
                <c:ptCount val="1"/>
                <c:pt idx="0">
                  <c:v>Totaal vaste kosten</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Teelt!$G$1:$I$1</c:f>
              <c:strCache>
                <c:ptCount val="3"/>
                <c:pt idx="0">
                  <c:v>Totale kosten</c:v>
                </c:pt>
                <c:pt idx="1">
                  <c:v>Totale winsten</c:v>
                </c:pt>
                <c:pt idx="2">
                  <c:v>Saldo teelt</c:v>
                </c:pt>
              </c:strCache>
            </c:strRef>
          </c:cat>
          <c:val>
            <c:numRef>
              <c:f>Teelt!$G$2:$I$2</c:f>
              <c:numCache>
                <c:formatCode>0</c:formatCode>
                <c:ptCount val="3"/>
                <c:pt idx="0">
                  <c:v>1170</c:v>
                </c:pt>
              </c:numCache>
            </c:numRef>
          </c:val>
          <c:extLst>
            <c:ext xmlns:c16="http://schemas.microsoft.com/office/drawing/2014/chart" uri="{C3380CC4-5D6E-409C-BE32-E72D297353CC}">
              <c16:uniqueId val="{00000000-ED83-4B1F-9A3B-1959C5A767DA}"/>
            </c:ext>
          </c:extLst>
        </c:ser>
        <c:ser>
          <c:idx val="1"/>
          <c:order val="1"/>
          <c:tx>
            <c:strRef>
              <c:f>Teelt!$F$3</c:f>
              <c:strCache>
                <c:ptCount val="1"/>
                <c:pt idx="0">
                  <c:v>Totaal variabele kosten</c:v>
                </c:pt>
              </c:strCache>
            </c:strRef>
          </c:tx>
          <c:spPr>
            <a:solidFill>
              <a:srgbClr val="FFBDBD"/>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Teelt!$G$1:$I$1</c:f>
              <c:strCache>
                <c:ptCount val="3"/>
                <c:pt idx="0">
                  <c:v>Totale kosten</c:v>
                </c:pt>
                <c:pt idx="1">
                  <c:v>Totale winsten</c:v>
                </c:pt>
                <c:pt idx="2">
                  <c:v>Saldo teelt</c:v>
                </c:pt>
              </c:strCache>
            </c:strRef>
          </c:cat>
          <c:val>
            <c:numRef>
              <c:f>Teelt!$G$3:$I$3</c:f>
              <c:numCache>
                <c:formatCode>0</c:formatCode>
                <c:ptCount val="3"/>
                <c:pt idx="0">
                  <c:v>340</c:v>
                </c:pt>
              </c:numCache>
            </c:numRef>
          </c:val>
          <c:extLst>
            <c:ext xmlns:c16="http://schemas.microsoft.com/office/drawing/2014/chart" uri="{C3380CC4-5D6E-409C-BE32-E72D297353CC}">
              <c16:uniqueId val="{00000001-ED83-4B1F-9A3B-1959C5A767DA}"/>
            </c:ext>
          </c:extLst>
        </c:ser>
        <c:ser>
          <c:idx val="2"/>
          <c:order val="2"/>
          <c:tx>
            <c:strRef>
              <c:f>Teelt!$F$4</c:f>
              <c:strCache>
                <c:ptCount val="1"/>
                <c:pt idx="0">
                  <c:v>Premie</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Teelt!$G$1:$I$1</c:f>
              <c:strCache>
                <c:ptCount val="3"/>
                <c:pt idx="0">
                  <c:v>Totale kosten</c:v>
                </c:pt>
                <c:pt idx="1">
                  <c:v>Totale winsten</c:v>
                </c:pt>
                <c:pt idx="2">
                  <c:v>Saldo teelt</c:v>
                </c:pt>
              </c:strCache>
            </c:strRef>
          </c:cat>
          <c:val>
            <c:numRef>
              <c:f>Teelt!$G$4:$I$4</c:f>
              <c:numCache>
                <c:formatCode>0</c:formatCode>
                <c:ptCount val="3"/>
                <c:pt idx="1">
                  <c:v>600</c:v>
                </c:pt>
              </c:numCache>
            </c:numRef>
          </c:val>
          <c:extLst>
            <c:ext xmlns:c16="http://schemas.microsoft.com/office/drawing/2014/chart" uri="{C3380CC4-5D6E-409C-BE32-E72D297353CC}">
              <c16:uniqueId val="{00000002-ED83-4B1F-9A3B-1959C5A767DA}"/>
            </c:ext>
          </c:extLst>
        </c:ser>
        <c:ser>
          <c:idx val="3"/>
          <c:order val="3"/>
          <c:tx>
            <c:strRef>
              <c:f>Teelt!$F$5</c:f>
              <c:strCache>
                <c:ptCount val="1"/>
                <c:pt idx="0">
                  <c:v>Totale opbrengst teelt</c:v>
                </c:pt>
              </c:strCache>
            </c:strRef>
          </c:tx>
          <c:spPr>
            <a:solidFill>
              <a:srgbClr val="AFFFD3"/>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Teelt!$G$1:$I$1</c:f>
              <c:strCache>
                <c:ptCount val="3"/>
                <c:pt idx="0">
                  <c:v>Totale kosten</c:v>
                </c:pt>
                <c:pt idx="1">
                  <c:v>Totale winsten</c:v>
                </c:pt>
                <c:pt idx="2">
                  <c:v>Saldo teelt</c:v>
                </c:pt>
              </c:strCache>
            </c:strRef>
          </c:cat>
          <c:val>
            <c:numRef>
              <c:f>Teelt!$G$5:$I$5</c:f>
              <c:numCache>
                <c:formatCode>0</c:formatCode>
                <c:ptCount val="3"/>
                <c:pt idx="1">
                  <c:v>1650</c:v>
                </c:pt>
              </c:numCache>
            </c:numRef>
          </c:val>
          <c:extLst>
            <c:ext xmlns:c16="http://schemas.microsoft.com/office/drawing/2014/chart" uri="{C3380CC4-5D6E-409C-BE32-E72D297353CC}">
              <c16:uniqueId val="{00000003-ED83-4B1F-9A3B-1959C5A767DA}"/>
            </c:ext>
          </c:extLst>
        </c:ser>
        <c:ser>
          <c:idx val="4"/>
          <c:order val="4"/>
          <c:tx>
            <c:strRef>
              <c:f>Teelt!$F$6</c:f>
              <c:strCache>
                <c:ptCount val="1"/>
                <c:pt idx="0">
                  <c:v>Saldo teelt</c:v>
                </c:pt>
              </c:strCache>
            </c:strRef>
          </c:tx>
          <c:spPr>
            <a:solidFill>
              <a:srgbClr val="00B0F0"/>
            </a:solidFill>
            <a:ln>
              <a:solidFill>
                <a:srgbClr val="00B0F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Teelt!$G$1:$I$1</c:f>
              <c:strCache>
                <c:ptCount val="3"/>
                <c:pt idx="0">
                  <c:v>Totale kosten</c:v>
                </c:pt>
                <c:pt idx="1">
                  <c:v>Totale winsten</c:v>
                </c:pt>
                <c:pt idx="2">
                  <c:v>Saldo teelt</c:v>
                </c:pt>
              </c:strCache>
            </c:strRef>
          </c:cat>
          <c:val>
            <c:numRef>
              <c:f>Teelt!$G$6:$I$6</c:f>
              <c:numCache>
                <c:formatCode>0</c:formatCode>
                <c:ptCount val="3"/>
                <c:pt idx="2">
                  <c:v>740</c:v>
                </c:pt>
              </c:numCache>
            </c:numRef>
          </c:val>
          <c:extLst>
            <c:ext xmlns:c16="http://schemas.microsoft.com/office/drawing/2014/chart" uri="{C3380CC4-5D6E-409C-BE32-E72D297353CC}">
              <c16:uniqueId val="{00000004-ED83-4B1F-9A3B-1959C5A767DA}"/>
            </c:ext>
          </c:extLst>
        </c:ser>
        <c:dLbls>
          <c:dLblPos val="ctr"/>
          <c:showLegendKey val="0"/>
          <c:showVal val="1"/>
          <c:showCatName val="0"/>
          <c:showSerName val="0"/>
          <c:showPercent val="0"/>
          <c:showBubbleSize val="0"/>
        </c:dLbls>
        <c:gapWidth val="150"/>
        <c:overlap val="100"/>
        <c:axId val="1289579904"/>
        <c:axId val="1289579072"/>
      </c:barChart>
      <c:catAx>
        <c:axId val="1289579904"/>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crossAx val="1289579072"/>
        <c:crosses val="autoZero"/>
        <c:auto val="1"/>
        <c:lblAlgn val="ctr"/>
        <c:lblOffset val="100"/>
        <c:noMultiLvlLbl val="0"/>
      </c:catAx>
      <c:valAx>
        <c:axId val="1289579072"/>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nl-BE" sz="1100">
                    <a:solidFill>
                      <a:schemeClr val="tx1"/>
                    </a:solidFill>
                  </a:rPr>
                  <a:t>Euro</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BE"/>
          </a:p>
        </c:txPr>
        <c:crossAx val="128957990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legend>
    <c:plotVisOnly val="1"/>
    <c:dispBlanksAs val="gap"/>
    <c:showDLblsOverMax val="0"/>
  </c:chart>
  <c:spPr>
    <a:blipFill dpi="0" rotWithShape="1">
      <a:blip xmlns:r="http://schemas.openxmlformats.org/officeDocument/2006/relationships" r:embed="rId3">
        <a:alphaModFix amt="40000"/>
      </a:blip>
      <a:srcRect/>
      <a:stretch>
        <a:fillRect/>
      </a:stretch>
    </a:blip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r>
              <a:rPr lang="nl-BE" sz="1500" u="sng">
                <a:solidFill>
                  <a:schemeClr val="tx1"/>
                </a:solidFill>
              </a:rPr>
              <a:t>Financieel overzicht op</a:t>
            </a:r>
            <a:r>
              <a:rPr lang="nl-BE" sz="1500" u="sng" baseline="0">
                <a:solidFill>
                  <a:schemeClr val="tx1"/>
                </a:solidFill>
              </a:rPr>
              <a:t> basis van </a:t>
            </a:r>
            <a:r>
              <a:rPr lang="nl-BE" sz="1500" u="sng">
                <a:solidFill>
                  <a:schemeClr val="tx1"/>
                </a:solidFill>
              </a:rPr>
              <a:t>voederwaardeprijs</a:t>
            </a:r>
          </a:p>
        </c:rich>
      </c:tx>
      <c:overlay val="0"/>
      <c:spPr>
        <a:noFill/>
        <a:ln>
          <a:noFill/>
        </a:ln>
        <a:effectLst/>
      </c:spPr>
      <c:txPr>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endParaRPr lang="nl-BE"/>
        </a:p>
      </c:txPr>
    </c:title>
    <c:autoTitleDeleted val="0"/>
    <c:plotArea>
      <c:layout/>
      <c:barChart>
        <c:barDir val="col"/>
        <c:grouping val="stacked"/>
        <c:varyColors val="0"/>
        <c:ser>
          <c:idx val="0"/>
          <c:order val="0"/>
          <c:tx>
            <c:strRef>
              <c:f>Vervoedering!$F$2</c:f>
              <c:strCache>
                <c:ptCount val="1"/>
                <c:pt idx="0">
                  <c:v>Aankoopkosten</c:v>
                </c:pt>
              </c:strCache>
            </c:strRef>
          </c:tx>
          <c:spPr>
            <a:solidFill>
              <a:srgbClr val="8E0000"/>
            </a:solidFill>
            <a:ln>
              <a:noFill/>
            </a:ln>
            <a:effectLst/>
          </c:spPr>
          <c:invertIfNegative val="0"/>
          <c:dPt>
            <c:idx val="0"/>
            <c:invertIfNegative val="0"/>
            <c:bubble3D val="0"/>
            <c:spPr>
              <a:solidFill>
                <a:srgbClr val="A80000"/>
              </a:solidFill>
              <a:ln>
                <a:solidFill>
                  <a:srgbClr val="A80000"/>
                </a:solidFill>
              </a:ln>
              <a:effectLst/>
            </c:spPr>
            <c:extLst>
              <c:ext xmlns:c16="http://schemas.microsoft.com/office/drawing/2014/chart" uri="{C3380CC4-5D6E-409C-BE32-E72D297353CC}">
                <c16:uniqueId val="{00000008-A5D6-4848-8570-3FE4D6A41771}"/>
              </c:ext>
            </c:extLst>
          </c:dPt>
          <c:dLbls>
            <c:delete val="1"/>
          </c:dLbls>
          <c:cat>
            <c:strRef>
              <c:f>Vervoedering!$G$1:$I$1</c:f>
              <c:strCache>
                <c:ptCount val="3"/>
                <c:pt idx="0">
                  <c:v>Totale kosten</c:v>
                </c:pt>
                <c:pt idx="1">
                  <c:v>Voederwaardeprijs</c:v>
                </c:pt>
                <c:pt idx="2">
                  <c:v>Saldo vervoedering</c:v>
                </c:pt>
              </c:strCache>
            </c:strRef>
          </c:cat>
          <c:val>
            <c:numRef>
              <c:f>Vervoedering!$G$2:$I$2</c:f>
              <c:numCache>
                <c:formatCode>0</c:formatCode>
                <c:ptCount val="3"/>
                <c:pt idx="0">
                  <c:v>330</c:v>
                </c:pt>
              </c:numCache>
            </c:numRef>
          </c:val>
          <c:extLst>
            <c:ext xmlns:c16="http://schemas.microsoft.com/office/drawing/2014/chart" uri="{C3380CC4-5D6E-409C-BE32-E72D297353CC}">
              <c16:uniqueId val="{00000000-A5D6-4848-8570-3FE4D6A41771}"/>
            </c:ext>
          </c:extLst>
        </c:ser>
        <c:ser>
          <c:idx val="1"/>
          <c:order val="1"/>
          <c:tx>
            <c:strRef>
              <c:f>Vervoedering!$F$3</c:f>
              <c:strCache>
                <c:ptCount val="1"/>
                <c:pt idx="0">
                  <c:v>Transport</c:v>
                </c:pt>
              </c:strCache>
            </c:strRef>
          </c:tx>
          <c:spPr>
            <a:solidFill>
              <a:srgbClr val="C80000"/>
            </a:solidFill>
            <a:ln>
              <a:solidFill>
                <a:srgbClr val="D2000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Vervoedering!$G$3:$I$3</c:f>
              <c:numCache>
                <c:formatCode>0</c:formatCode>
                <c:ptCount val="3"/>
                <c:pt idx="0">
                  <c:v>14</c:v>
                </c:pt>
              </c:numCache>
            </c:numRef>
          </c:val>
          <c:extLst>
            <c:ext xmlns:c16="http://schemas.microsoft.com/office/drawing/2014/chart" uri="{C3380CC4-5D6E-409C-BE32-E72D297353CC}">
              <c16:uniqueId val="{00000001-A5D6-4848-8570-3FE4D6A41771}"/>
            </c:ext>
          </c:extLst>
        </c:ser>
        <c:ser>
          <c:idx val="2"/>
          <c:order val="2"/>
          <c:tx>
            <c:strRef>
              <c:f>Vervoedering!$F$4</c:f>
              <c:strCache>
                <c:ptCount val="1"/>
                <c:pt idx="0">
                  <c:v>Triage</c:v>
                </c:pt>
              </c:strCache>
            </c:strRef>
          </c:tx>
          <c:spPr>
            <a:solidFill>
              <a:srgbClr val="FF0000"/>
            </a:solidFill>
            <a:ln>
              <a:solidFill>
                <a:srgbClr val="A8000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Vervoedering!$G$4:$I$4</c:f>
              <c:numCache>
                <c:formatCode>0</c:formatCode>
                <c:ptCount val="3"/>
                <c:pt idx="0">
                  <c:v>0</c:v>
                </c:pt>
              </c:numCache>
            </c:numRef>
          </c:val>
          <c:extLst>
            <c:ext xmlns:c16="http://schemas.microsoft.com/office/drawing/2014/chart" uri="{C3380CC4-5D6E-409C-BE32-E72D297353CC}">
              <c16:uniqueId val="{00000002-A5D6-4848-8570-3FE4D6A41771}"/>
            </c:ext>
          </c:extLst>
        </c:ser>
        <c:ser>
          <c:idx val="3"/>
          <c:order val="3"/>
          <c:tx>
            <c:strRef>
              <c:f>Vervoedering!$F$6</c:f>
              <c:strCache>
                <c:ptCount val="1"/>
                <c:pt idx="0">
                  <c:v>Toasten</c:v>
                </c:pt>
              </c:strCache>
            </c:strRef>
          </c:tx>
          <c:spPr>
            <a:solidFill>
              <a:srgbClr val="FF5757"/>
            </a:solidFill>
            <a:ln>
              <a:solidFill>
                <a:srgbClr val="A8000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Vervoedering!$G$6:$I$6</c:f>
              <c:numCache>
                <c:formatCode>0</c:formatCode>
                <c:ptCount val="3"/>
                <c:pt idx="0">
                  <c:v>0</c:v>
                </c:pt>
              </c:numCache>
            </c:numRef>
          </c:val>
          <c:extLst>
            <c:ext xmlns:c16="http://schemas.microsoft.com/office/drawing/2014/chart" uri="{C3380CC4-5D6E-409C-BE32-E72D297353CC}">
              <c16:uniqueId val="{00000003-A5D6-4848-8570-3FE4D6A41771}"/>
            </c:ext>
          </c:extLst>
        </c:ser>
        <c:ser>
          <c:idx val="4"/>
          <c:order val="4"/>
          <c:tx>
            <c:strRef>
              <c:f>Vervoedering!$F$7</c:f>
              <c:strCache>
                <c:ptCount val="1"/>
                <c:pt idx="0">
                  <c:v>Pletten/malen</c:v>
                </c:pt>
              </c:strCache>
            </c:strRef>
          </c:tx>
          <c:spPr>
            <a:solidFill>
              <a:srgbClr val="FFBDBD"/>
            </a:solidFill>
            <a:ln>
              <a:solidFill>
                <a:srgbClr val="A8000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Vervoedering!$G$7:$I$7</c:f>
              <c:numCache>
                <c:formatCode>0</c:formatCode>
                <c:ptCount val="3"/>
                <c:pt idx="0">
                  <c:v>15</c:v>
                </c:pt>
              </c:numCache>
            </c:numRef>
          </c:val>
          <c:extLst>
            <c:ext xmlns:c16="http://schemas.microsoft.com/office/drawing/2014/chart" uri="{C3380CC4-5D6E-409C-BE32-E72D297353CC}">
              <c16:uniqueId val="{00000004-A5D6-4848-8570-3FE4D6A41771}"/>
            </c:ext>
          </c:extLst>
        </c:ser>
        <c:ser>
          <c:idx val="5"/>
          <c:order val="5"/>
          <c:tx>
            <c:strRef>
              <c:f>Vervoedering!$F$8</c:f>
              <c:strCache>
                <c:ptCount val="1"/>
                <c:pt idx="0">
                  <c:v>Energietoeslag</c:v>
                </c:pt>
              </c:strCache>
            </c:strRef>
          </c:tx>
          <c:spPr>
            <a:solidFill>
              <a:srgbClr val="00B050"/>
            </a:solidFill>
            <a:ln>
              <a:solidFill>
                <a:srgbClr val="00B05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Vervoedering!$G$8:$I$8</c:f>
              <c:numCache>
                <c:formatCode>0</c:formatCode>
                <c:ptCount val="3"/>
                <c:pt idx="1">
                  <c:v>223.04364000000001</c:v>
                </c:pt>
              </c:numCache>
            </c:numRef>
          </c:val>
          <c:extLst>
            <c:ext xmlns:c16="http://schemas.microsoft.com/office/drawing/2014/chart" uri="{C3380CC4-5D6E-409C-BE32-E72D297353CC}">
              <c16:uniqueId val="{00000005-A5D6-4848-8570-3FE4D6A41771}"/>
            </c:ext>
          </c:extLst>
        </c:ser>
        <c:ser>
          <c:idx val="6"/>
          <c:order val="6"/>
          <c:tx>
            <c:strRef>
              <c:f>Vervoedering!$F$9</c:f>
              <c:strCache>
                <c:ptCount val="1"/>
                <c:pt idx="0">
                  <c:v>Eiwittoeslag</c:v>
                </c:pt>
              </c:strCache>
            </c:strRef>
          </c:tx>
          <c:spPr>
            <a:solidFill>
              <a:srgbClr val="AFFFD3"/>
            </a:solidFill>
            <a:ln>
              <a:solidFill>
                <a:srgbClr val="00B05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Vervoedering!$G$9:$I$9</c:f>
              <c:numCache>
                <c:formatCode>0</c:formatCode>
                <c:ptCount val="3"/>
                <c:pt idx="1">
                  <c:v>85.205190000000002</c:v>
                </c:pt>
              </c:numCache>
            </c:numRef>
          </c:val>
          <c:extLst>
            <c:ext xmlns:c16="http://schemas.microsoft.com/office/drawing/2014/chart" uri="{C3380CC4-5D6E-409C-BE32-E72D297353CC}">
              <c16:uniqueId val="{00000006-A5D6-4848-8570-3FE4D6A41771}"/>
            </c:ext>
          </c:extLst>
        </c:ser>
        <c:ser>
          <c:idx val="7"/>
          <c:order val="7"/>
          <c:tx>
            <c:strRef>
              <c:f>Vervoedering!$F$10</c:f>
              <c:strCache>
                <c:ptCount val="1"/>
                <c:pt idx="0">
                  <c:v>Saldo Vervoedering</c:v>
                </c:pt>
              </c:strCache>
            </c:strRef>
          </c:tx>
          <c:spPr>
            <a:solidFill>
              <a:srgbClr val="00B0F0"/>
            </a:solidFill>
            <a:ln>
              <a:solidFill>
                <a:srgbClr val="00B0F0"/>
              </a:solidFill>
            </a:ln>
            <a:effectLst/>
          </c:spPr>
          <c:invertIfNegative val="0"/>
          <c:dLbls>
            <c:delete val="1"/>
          </c:dLbls>
          <c:cat>
            <c:strRef>
              <c:f>Vervoedering!$G$1:$I$1</c:f>
              <c:strCache>
                <c:ptCount val="3"/>
                <c:pt idx="0">
                  <c:v>Totale kosten</c:v>
                </c:pt>
                <c:pt idx="1">
                  <c:v>Voederwaardeprijs</c:v>
                </c:pt>
                <c:pt idx="2">
                  <c:v>Saldo vervoedering</c:v>
                </c:pt>
              </c:strCache>
            </c:strRef>
          </c:cat>
          <c:val>
            <c:numRef>
              <c:f>Vervoedering!$G$10:$I$10</c:f>
              <c:numCache>
                <c:formatCode>0</c:formatCode>
                <c:ptCount val="3"/>
                <c:pt idx="2">
                  <c:v>-50.751170000000002</c:v>
                </c:pt>
              </c:numCache>
            </c:numRef>
          </c:val>
          <c:extLst>
            <c:ext xmlns:c16="http://schemas.microsoft.com/office/drawing/2014/chart" uri="{C3380CC4-5D6E-409C-BE32-E72D297353CC}">
              <c16:uniqueId val="{00000007-A5D6-4848-8570-3FE4D6A41771}"/>
            </c:ext>
          </c:extLst>
        </c:ser>
        <c:dLbls>
          <c:dLblPos val="ctr"/>
          <c:showLegendKey val="0"/>
          <c:showVal val="1"/>
          <c:showCatName val="0"/>
          <c:showSerName val="0"/>
          <c:showPercent val="0"/>
          <c:showBubbleSize val="0"/>
        </c:dLbls>
        <c:gapWidth val="150"/>
        <c:overlap val="100"/>
        <c:axId val="2102073072"/>
        <c:axId val="2102073488"/>
      </c:barChart>
      <c:catAx>
        <c:axId val="2102073072"/>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crossAx val="2102073488"/>
        <c:crosses val="autoZero"/>
        <c:auto val="1"/>
        <c:lblAlgn val="ctr"/>
        <c:lblOffset val="100"/>
        <c:noMultiLvlLbl val="0"/>
      </c:catAx>
      <c:valAx>
        <c:axId val="2102073488"/>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nl-BE" sz="1100">
                    <a:solidFill>
                      <a:schemeClr val="tx1"/>
                    </a:solidFill>
                  </a:rPr>
                  <a:t>Euro/ton</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BE"/>
          </a:p>
        </c:txPr>
        <c:crossAx val="2102073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legend>
    <c:plotVisOnly val="1"/>
    <c:dispBlanksAs val="gap"/>
    <c:showDLblsOverMax val="0"/>
  </c:chart>
  <c:spPr>
    <a:blipFill dpi="0" rotWithShape="1">
      <a:blip xmlns:r="http://schemas.openxmlformats.org/officeDocument/2006/relationships" r:embed="rId3">
        <a:alphaModFix amt="40000"/>
      </a:blip>
      <a:srcRect/>
      <a:stretch>
        <a:fillRect/>
      </a:stretch>
    </a:blipFill>
    <a:ln w="9525" cap="flat" cmpd="sng" algn="ctr">
      <a:solidFill>
        <a:schemeClr val="tx1">
          <a:alpha val="98000"/>
        </a:schemeClr>
      </a:solidFill>
      <a:round/>
    </a:ln>
    <a:effectLst/>
  </c:spPr>
  <c:txPr>
    <a:bodyPr/>
    <a:lstStyle/>
    <a:p>
      <a:pPr>
        <a:defRPr/>
      </a:pPr>
      <a:endParaRPr lang="nl-B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500" b="0" i="0" u="sng" strike="noStrike" kern="1200" spc="0" baseline="0">
                <a:solidFill>
                  <a:schemeClr val="tx1"/>
                </a:solidFill>
                <a:latin typeface="+mn-lt"/>
                <a:ea typeface="+mn-ea"/>
                <a:cs typeface="+mn-cs"/>
              </a:defRPr>
            </a:pPr>
            <a:r>
              <a:rPr lang="nl-BE" sz="1500" u="sng"/>
              <a:t>Financieel overzicht op basis van vervangcomponenten</a:t>
            </a:r>
          </a:p>
        </c:rich>
      </c:tx>
      <c:overlay val="0"/>
      <c:spPr>
        <a:noFill/>
        <a:ln>
          <a:noFill/>
        </a:ln>
        <a:effectLst/>
      </c:spPr>
      <c:txPr>
        <a:bodyPr rot="0" spcFirstLastPara="1" vertOverflow="ellipsis" vert="horz" wrap="square" anchor="ctr" anchorCtr="1"/>
        <a:lstStyle/>
        <a:p>
          <a:pPr>
            <a:defRPr lang="en-US" sz="1500" b="0" i="0" u="sng" strike="noStrike" kern="1200" spc="0" baseline="0">
              <a:solidFill>
                <a:schemeClr val="tx1"/>
              </a:solidFill>
              <a:latin typeface="+mn-lt"/>
              <a:ea typeface="+mn-ea"/>
              <a:cs typeface="+mn-cs"/>
            </a:defRPr>
          </a:pPr>
          <a:endParaRPr lang="nl-BE"/>
        </a:p>
      </c:txPr>
    </c:title>
    <c:autoTitleDeleted val="0"/>
    <c:plotArea>
      <c:layout/>
      <c:barChart>
        <c:barDir val="col"/>
        <c:grouping val="stacked"/>
        <c:varyColors val="0"/>
        <c:ser>
          <c:idx val="0"/>
          <c:order val="0"/>
          <c:tx>
            <c:strRef>
              <c:f>Vervoedering!$H$34</c:f>
              <c:strCache>
                <c:ptCount val="1"/>
                <c:pt idx="0">
                  <c:v>Aankoopkosten</c:v>
                </c:pt>
              </c:strCache>
            </c:strRef>
          </c:tx>
          <c:spPr>
            <a:solidFill>
              <a:srgbClr val="A80000"/>
            </a:solidFill>
            <a:ln>
              <a:solidFill>
                <a:srgbClr val="A8000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Vervoedering!$I$34:$K$34</c:f>
              <c:numCache>
                <c:formatCode>0</c:formatCode>
                <c:ptCount val="3"/>
                <c:pt idx="0">
                  <c:v>330</c:v>
                </c:pt>
              </c:numCache>
            </c:numRef>
          </c:val>
          <c:extLst>
            <c:ext xmlns:c16="http://schemas.microsoft.com/office/drawing/2014/chart" uri="{C3380CC4-5D6E-409C-BE32-E72D297353CC}">
              <c16:uniqueId val="{00000000-FED9-44FA-97FE-DBB7B8FA9381}"/>
            </c:ext>
          </c:extLst>
        </c:ser>
        <c:ser>
          <c:idx val="1"/>
          <c:order val="1"/>
          <c:tx>
            <c:strRef>
              <c:f>Vervoedering!$H$35</c:f>
              <c:strCache>
                <c:ptCount val="1"/>
                <c:pt idx="0">
                  <c:v>Transport</c:v>
                </c:pt>
              </c:strCache>
            </c:strRef>
          </c:tx>
          <c:spPr>
            <a:solidFill>
              <a:srgbClr val="D20000"/>
            </a:solidFill>
            <a:ln>
              <a:solidFill>
                <a:srgbClr val="D2000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Vervoedering!$I$35:$K$35</c:f>
              <c:numCache>
                <c:formatCode>0</c:formatCode>
                <c:ptCount val="3"/>
                <c:pt idx="0">
                  <c:v>14</c:v>
                </c:pt>
              </c:numCache>
            </c:numRef>
          </c:val>
          <c:extLst>
            <c:ext xmlns:c16="http://schemas.microsoft.com/office/drawing/2014/chart" uri="{C3380CC4-5D6E-409C-BE32-E72D297353CC}">
              <c16:uniqueId val="{00000001-FED9-44FA-97FE-DBB7B8FA9381}"/>
            </c:ext>
          </c:extLst>
        </c:ser>
        <c:ser>
          <c:idx val="2"/>
          <c:order val="2"/>
          <c:tx>
            <c:strRef>
              <c:f>Vervoedering!$H$36</c:f>
              <c:strCache>
                <c:ptCount val="1"/>
                <c:pt idx="0">
                  <c:v>Triage</c:v>
                </c:pt>
              </c:strCache>
            </c:strRef>
          </c:tx>
          <c:spPr>
            <a:solidFill>
              <a:srgbClr val="FF0000"/>
            </a:solidFill>
            <a:ln>
              <a:solidFill>
                <a:srgbClr val="A8000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Vervoedering!$I$36:$K$36</c:f>
              <c:numCache>
                <c:formatCode>0</c:formatCode>
                <c:ptCount val="3"/>
                <c:pt idx="0">
                  <c:v>0</c:v>
                </c:pt>
              </c:numCache>
            </c:numRef>
          </c:val>
          <c:extLst>
            <c:ext xmlns:c16="http://schemas.microsoft.com/office/drawing/2014/chart" uri="{C3380CC4-5D6E-409C-BE32-E72D297353CC}">
              <c16:uniqueId val="{00000003-FED9-44FA-97FE-DBB7B8FA9381}"/>
            </c:ext>
          </c:extLst>
        </c:ser>
        <c:ser>
          <c:idx val="3"/>
          <c:order val="3"/>
          <c:tx>
            <c:strRef>
              <c:f>Vervoedering!$H$38</c:f>
              <c:strCache>
                <c:ptCount val="1"/>
                <c:pt idx="0">
                  <c:v>Toasten</c:v>
                </c:pt>
              </c:strCache>
            </c:strRef>
          </c:tx>
          <c:spPr>
            <a:solidFill>
              <a:srgbClr val="FF5757"/>
            </a:solidFill>
            <a:ln>
              <a:solidFill>
                <a:srgbClr val="D2000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Vervoedering!$I$38:$K$38</c:f>
              <c:numCache>
                <c:formatCode>0</c:formatCode>
                <c:ptCount val="3"/>
                <c:pt idx="0">
                  <c:v>0</c:v>
                </c:pt>
              </c:numCache>
            </c:numRef>
          </c:val>
          <c:extLst>
            <c:ext xmlns:c16="http://schemas.microsoft.com/office/drawing/2014/chart" uri="{C3380CC4-5D6E-409C-BE32-E72D297353CC}">
              <c16:uniqueId val="{00000004-FED9-44FA-97FE-DBB7B8FA9381}"/>
            </c:ext>
          </c:extLst>
        </c:ser>
        <c:ser>
          <c:idx val="4"/>
          <c:order val="4"/>
          <c:tx>
            <c:strRef>
              <c:f>Vervoedering!$H$39</c:f>
              <c:strCache>
                <c:ptCount val="1"/>
                <c:pt idx="0">
                  <c:v>Pletten/malen</c:v>
                </c:pt>
              </c:strCache>
            </c:strRef>
          </c:tx>
          <c:spPr>
            <a:solidFill>
              <a:srgbClr val="FFBDBD"/>
            </a:solidFill>
            <a:ln>
              <a:solidFill>
                <a:srgbClr val="D2000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Vervoedering!$I$39:$K$39</c:f>
              <c:numCache>
                <c:formatCode>0</c:formatCode>
                <c:ptCount val="3"/>
                <c:pt idx="0">
                  <c:v>15</c:v>
                </c:pt>
              </c:numCache>
            </c:numRef>
          </c:val>
          <c:extLst>
            <c:ext xmlns:c16="http://schemas.microsoft.com/office/drawing/2014/chart" uri="{C3380CC4-5D6E-409C-BE32-E72D297353CC}">
              <c16:uniqueId val="{00000005-FED9-44FA-97FE-DBB7B8FA9381}"/>
            </c:ext>
          </c:extLst>
        </c:ser>
        <c:ser>
          <c:idx val="5"/>
          <c:order val="5"/>
          <c:tx>
            <c:strRef>
              <c:f>Vervoedering!$H$40</c:f>
              <c:strCache>
                <c:ptCount val="1"/>
                <c:pt idx="0">
                  <c:v>Krachtvoer</c:v>
                </c:pt>
              </c:strCache>
            </c:strRef>
          </c:tx>
          <c:spPr>
            <a:solidFill>
              <a:srgbClr val="00B050"/>
            </a:solidFill>
            <a:ln>
              <a:solidFill>
                <a:srgbClr val="00B05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Vervoedering!$I$40:$K$40</c:f>
              <c:numCache>
                <c:formatCode>0</c:formatCode>
                <c:ptCount val="3"/>
                <c:pt idx="1">
                  <c:v>200</c:v>
                </c:pt>
              </c:numCache>
            </c:numRef>
          </c:val>
          <c:extLst>
            <c:ext xmlns:c16="http://schemas.microsoft.com/office/drawing/2014/chart" uri="{C3380CC4-5D6E-409C-BE32-E72D297353CC}">
              <c16:uniqueId val="{00000006-FED9-44FA-97FE-DBB7B8FA9381}"/>
            </c:ext>
          </c:extLst>
        </c:ser>
        <c:ser>
          <c:idx val="6"/>
          <c:order val="6"/>
          <c:tx>
            <c:strRef>
              <c:f>Vervoedering!$H$41</c:f>
              <c:strCache>
                <c:ptCount val="1"/>
                <c:pt idx="0">
                  <c:v>SKT-mix</c:v>
                </c:pt>
              </c:strCache>
            </c:strRef>
          </c:tx>
          <c:spPr>
            <a:solidFill>
              <a:srgbClr val="AFFFD3"/>
            </a:solidFill>
            <a:ln>
              <a:solidFill>
                <a:srgbClr val="00B05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Vervoedering!$I$41:$K$41</c:f>
              <c:numCache>
                <c:formatCode>0</c:formatCode>
                <c:ptCount val="3"/>
                <c:pt idx="1">
                  <c:v>265</c:v>
                </c:pt>
              </c:numCache>
            </c:numRef>
          </c:val>
          <c:extLst>
            <c:ext xmlns:c16="http://schemas.microsoft.com/office/drawing/2014/chart" uri="{C3380CC4-5D6E-409C-BE32-E72D297353CC}">
              <c16:uniqueId val="{00000007-FED9-44FA-97FE-DBB7B8FA9381}"/>
            </c:ext>
          </c:extLst>
        </c:ser>
        <c:ser>
          <c:idx val="7"/>
          <c:order val="7"/>
          <c:tx>
            <c:strRef>
              <c:f>Vervoedering!$H$42</c:f>
              <c:strCache>
                <c:ptCount val="1"/>
              </c:strCache>
            </c:strRef>
          </c:tx>
          <c:spPr>
            <a:solidFill>
              <a:srgbClr val="5DFFA6"/>
            </a:solidFill>
            <a:ln>
              <a:solidFill>
                <a:srgbClr val="00B05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Vervoedering!$I$42:$K$42</c:f>
              <c:numCache>
                <c:formatCode>0</c:formatCode>
                <c:ptCount val="3"/>
                <c:pt idx="1">
                  <c:v>0</c:v>
                </c:pt>
              </c:numCache>
            </c:numRef>
          </c:val>
          <c:extLst>
            <c:ext xmlns:c16="http://schemas.microsoft.com/office/drawing/2014/chart" uri="{C3380CC4-5D6E-409C-BE32-E72D297353CC}">
              <c16:uniqueId val="{00000008-FED9-44FA-97FE-DBB7B8FA9381}"/>
            </c:ext>
          </c:extLst>
        </c:ser>
        <c:ser>
          <c:idx val="8"/>
          <c:order val="8"/>
          <c:tx>
            <c:strRef>
              <c:f>Vervoedering!$H$43</c:f>
              <c:strCache>
                <c:ptCount val="1"/>
                <c:pt idx="0">
                  <c:v>Saldo Vervoedering</c:v>
                </c:pt>
              </c:strCache>
            </c:strRef>
          </c:tx>
          <c:spPr>
            <a:solidFill>
              <a:srgbClr val="00B0F0"/>
            </a:solidFill>
            <a:ln>
              <a:solidFill>
                <a:srgbClr val="00B0F0"/>
              </a:solidFill>
            </a:ln>
            <a:effectLst/>
          </c:spPr>
          <c:invertIfNegative val="0"/>
          <c:cat>
            <c:strRef>
              <c:f>Vervoedering!$I$33:$K$33</c:f>
              <c:strCache>
                <c:ptCount val="3"/>
                <c:pt idx="0">
                  <c:v>Kosten per ton veldbonen</c:v>
                </c:pt>
                <c:pt idx="1">
                  <c:v>Besparing op te vervangen componenten</c:v>
                </c:pt>
                <c:pt idx="2">
                  <c:v>Saldo vervoedering</c:v>
                </c:pt>
              </c:strCache>
            </c:strRef>
          </c:cat>
          <c:val>
            <c:numRef>
              <c:f>Vervoedering!$I$43:$K$43</c:f>
              <c:numCache>
                <c:formatCode>General</c:formatCode>
                <c:ptCount val="3"/>
                <c:pt idx="2" formatCode="0">
                  <c:v>106</c:v>
                </c:pt>
              </c:numCache>
            </c:numRef>
          </c:val>
          <c:extLst>
            <c:ext xmlns:c16="http://schemas.microsoft.com/office/drawing/2014/chart" uri="{C3380CC4-5D6E-409C-BE32-E72D297353CC}">
              <c16:uniqueId val="{00000009-FED9-44FA-97FE-DBB7B8FA9381}"/>
            </c:ext>
          </c:extLst>
        </c:ser>
        <c:dLbls>
          <c:showLegendKey val="0"/>
          <c:showVal val="0"/>
          <c:showCatName val="0"/>
          <c:showSerName val="0"/>
          <c:showPercent val="0"/>
          <c:showBubbleSize val="0"/>
        </c:dLbls>
        <c:gapWidth val="150"/>
        <c:overlap val="100"/>
        <c:axId val="376390352"/>
        <c:axId val="376390832"/>
      </c:barChart>
      <c:catAx>
        <c:axId val="376390352"/>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nl-BE"/>
          </a:p>
        </c:txPr>
        <c:crossAx val="376390832"/>
        <c:crosses val="autoZero"/>
        <c:auto val="1"/>
        <c:lblAlgn val="ctr"/>
        <c:lblOffset val="100"/>
        <c:noMultiLvlLbl val="0"/>
      </c:catAx>
      <c:valAx>
        <c:axId val="376390832"/>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lang="en-US" sz="1100" b="0" i="0" u="none" strike="noStrike" kern="1200" baseline="0">
                    <a:solidFill>
                      <a:schemeClr val="tx1"/>
                    </a:solidFill>
                    <a:latin typeface="+mn-lt"/>
                    <a:ea typeface="+mn-ea"/>
                    <a:cs typeface="+mn-cs"/>
                  </a:defRPr>
                </a:pPr>
                <a:r>
                  <a:rPr lang="nl-BE" sz="1100"/>
                  <a:t>Euro/ton</a:t>
                </a:r>
              </a:p>
            </c:rich>
          </c:tx>
          <c:overlay val="0"/>
          <c:spPr>
            <a:noFill/>
            <a:ln>
              <a:noFill/>
            </a:ln>
            <a:effectLst/>
          </c:spPr>
          <c:txPr>
            <a:bodyPr rot="-540000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nl-BE"/>
          </a:p>
        </c:txPr>
        <c:crossAx val="376390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lang="en-US" sz="1100" b="0" i="0" u="none" strike="noStrike" kern="1200" baseline="0">
              <a:solidFill>
                <a:schemeClr val="tx1"/>
              </a:solidFill>
              <a:latin typeface="+mn-lt"/>
              <a:ea typeface="+mn-ea"/>
              <a:cs typeface="+mn-cs"/>
            </a:defRPr>
          </a:pPr>
          <a:endParaRPr lang="nl-BE"/>
        </a:p>
      </c:txPr>
    </c:legend>
    <c:plotVisOnly val="1"/>
    <c:dispBlanksAs val="gap"/>
    <c:showDLblsOverMax val="0"/>
  </c:chart>
  <c:spPr>
    <a:blipFill dpi="0" rotWithShape="1">
      <a:blip xmlns:r="http://schemas.openxmlformats.org/officeDocument/2006/relationships" r:embed="rId3">
        <a:alphaModFix amt="43000"/>
      </a:blip>
      <a:srcRect/>
      <a:stretch>
        <a:fillRect/>
      </a:stretch>
    </a:blipFill>
    <a:ln w="9525" cap="flat" cmpd="sng" algn="ctr">
      <a:solidFill>
        <a:schemeClr val="tx1"/>
      </a:solidFill>
      <a:round/>
    </a:ln>
    <a:effectLst/>
  </c:spPr>
  <c:txPr>
    <a:bodyPr/>
    <a:lstStyle/>
    <a:p>
      <a:pPr>
        <a:defRPr lang="en-US" sz="1000" b="0" i="0" u="none" strike="noStrike" kern="1200" baseline="0">
          <a:solidFill>
            <a:schemeClr val="tx1"/>
          </a:solidFill>
          <a:latin typeface="+mn-lt"/>
          <a:ea typeface="+mn-ea"/>
          <a:cs typeface="+mn-cs"/>
        </a:defRPr>
      </a:pPr>
      <a:endParaRPr lang="nl-B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r>
              <a:rPr lang="nl-BE" sz="1500" u="sng">
                <a:solidFill>
                  <a:schemeClr val="tx1"/>
                </a:solidFill>
              </a:rPr>
              <a:t>Financieel overzicht toasten</a:t>
            </a:r>
          </a:p>
        </c:rich>
      </c:tx>
      <c:overlay val="0"/>
      <c:spPr>
        <a:noFill/>
        <a:ln>
          <a:noFill/>
        </a:ln>
        <a:effectLst/>
      </c:spPr>
      <c:txPr>
        <a:bodyPr rot="0" spcFirstLastPara="1" vertOverflow="ellipsis" vert="horz" wrap="square" anchor="ctr" anchorCtr="1"/>
        <a:lstStyle/>
        <a:p>
          <a:pPr>
            <a:defRPr sz="1500" b="0" i="0" u="sng" strike="noStrike" kern="1200" spc="0" baseline="0">
              <a:solidFill>
                <a:schemeClr val="tx1"/>
              </a:solidFill>
              <a:latin typeface="+mn-lt"/>
              <a:ea typeface="+mn-ea"/>
              <a:cs typeface="+mn-cs"/>
            </a:defRPr>
          </a:pPr>
          <a:endParaRPr lang="nl-BE"/>
        </a:p>
      </c:txPr>
    </c:title>
    <c:autoTitleDeleted val="0"/>
    <c:plotArea>
      <c:layout/>
      <c:barChart>
        <c:barDir val="col"/>
        <c:grouping val="stacked"/>
        <c:varyColors val="0"/>
        <c:ser>
          <c:idx val="0"/>
          <c:order val="0"/>
          <c:tx>
            <c:strRef>
              <c:f>Toasten!$F$1</c:f>
              <c:strCache>
                <c:ptCount val="1"/>
                <c:pt idx="0">
                  <c:v>Energietoeslag</c:v>
                </c:pt>
              </c:strCache>
            </c:strRef>
          </c:tx>
          <c:spPr>
            <a:solidFill>
              <a:srgbClr val="00B050"/>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Toasten!$E$2:$E$4</c:f>
              <c:strCache>
                <c:ptCount val="3"/>
                <c:pt idx="0">
                  <c:v>Voederwaardeprijs ongetoast</c:v>
                </c:pt>
                <c:pt idx="1">
                  <c:v>Voederwaardeprijs getoast</c:v>
                </c:pt>
                <c:pt idx="2">
                  <c:v>Saldo toasten</c:v>
                </c:pt>
              </c:strCache>
            </c:strRef>
          </c:cat>
          <c:val>
            <c:numRef>
              <c:f>Toasten!$F$2:$F$4</c:f>
              <c:numCache>
                <c:formatCode>0</c:formatCode>
                <c:ptCount val="3"/>
                <c:pt idx="0">
                  <c:v>205.38863999999998</c:v>
                </c:pt>
                <c:pt idx="1">
                  <c:v>205.38863999999998</c:v>
                </c:pt>
              </c:numCache>
            </c:numRef>
          </c:val>
          <c:extLst>
            <c:ext xmlns:c16="http://schemas.microsoft.com/office/drawing/2014/chart" uri="{C3380CC4-5D6E-409C-BE32-E72D297353CC}">
              <c16:uniqueId val="{00000000-F3DA-4688-A7B6-63A25EED32D3}"/>
            </c:ext>
          </c:extLst>
        </c:ser>
        <c:ser>
          <c:idx val="1"/>
          <c:order val="1"/>
          <c:tx>
            <c:strRef>
              <c:f>Toasten!$G$1</c:f>
              <c:strCache>
                <c:ptCount val="1"/>
                <c:pt idx="0">
                  <c:v>Eiwittoeslag</c:v>
                </c:pt>
              </c:strCache>
            </c:strRef>
          </c:tx>
          <c:spPr>
            <a:solidFill>
              <a:srgbClr val="AFFFD3"/>
            </a:solidFill>
            <a:ln>
              <a:solidFill>
                <a:srgbClr val="00B05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Toasten!$E$2:$E$4</c:f>
              <c:strCache>
                <c:ptCount val="3"/>
                <c:pt idx="0">
                  <c:v>Voederwaardeprijs ongetoast</c:v>
                </c:pt>
                <c:pt idx="1">
                  <c:v>Voederwaardeprijs getoast</c:v>
                </c:pt>
                <c:pt idx="2">
                  <c:v>Saldo toasten</c:v>
                </c:pt>
              </c:strCache>
            </c:strRef>
          </c:cat>
          <c:val>
            <c:numRef>
              <c:f>Toasten!$G$2:$G$4</c:f>
              <c:numCache>
                <c:formatCode>0</c:formatCode>
                <c:ptCount val="3"/>
                <c:pt idx="0">
                  <c:v>78.563579999999988</c:v>
                </c:pt>
                <c:pt idx="1">
                  <c:v>108.99811999999999</c:v>
                </c:pt>
              </c:numCache>
            </c:numRef>
          </c:val>
          <c:extLst>
            <c:ext xmlns:c16="http://schemas.microsoft.com/office/drawing/2014/chart" uri="{C3380CC4-5D6E-409C-BE32-E72D297353CC}">
              <c16:uniqueId val="{00000001-F3DA-4688-A7B6-63A25EED32D3}"/>
            </c:ext>
          </c:extLst>
        </c:ser>
        <c:ser>
          <c:idx val="2"/>
          <c:order val="2"/>
          <c:tx>
            <c:strRef>
              <c:f>Toasten!$H$1</c:f>
              <c:strCache>
                <c:ptCount val="1"/>
                <c:pt idx="0">
                  <c:v>Toastkosten</c:v>
                </c:pt>
              </c:strCache>
            </c:strRef>
          </c:tx>
          <c:spPr>
            <a:solidFill>
              <a:srgbClr val="FF0000"/>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Toasten!$E$2:$E$4</c:f>
              <c:strCache>
                <c:ptCount val="3"/>
                <c:pt idx="0">
                  <c:v>Voederwaardeprijs ongetoast</c:v>
                </c:pt>
                <c:pt idx="1">
                  <c:v>Voederwaardeprijs getoast</c:v>
                </c:pt>
                <c:pt idx="2">
                  <c:v>Saldo toasten</c:v>
                </c:pt>
              </c:strCache>
            </c:strRef>
          </c:cat>
          <c:val>
            <c:numRef>
              <c:f>Toasten!$H$2:$H$4</c:f>
              <c:numCache>
                <c:formatCode>0</c:formatCode>
                <c:ptCount val="3"/>
                <c:pt idx="1">
                  <c:v>-75</c:v>
                </c:pt>
              </c:numCache>
            </c:numRef>
          </c:val>
          <c:extLst>
            <c:ext xmlns:c16="http://schemas.microsoft.com/office/drawing/2014/chart" uri="{C3380CC4-5D6E-409C-BE32-E72D297353CC}">
              <c16:uniqueId val="{00000002-F3DA-4688-A7B6-63A25EED32D3}"/>
            </c:ext>
          </c:extLst>
        </c:ser>
        <c:ser>
          <c:idx val="3"/>
          <c:order val="3"/>
          <c:tx>
            <c:strRef>
              <c:f>Toasten!$J$1</c:f>
              <c:strCache>
                <c:ptCount val="1"/>
                <c:pt idx="0">
                  <c:v>Saldo toasten</c:v>
                </c:pt>
              </c:strCache>
            </c:strRef>
          </c:tx>
          <c:spPr>
            <a:solidFill>
              <a:srgbClr val="00B0F0"/>
            </a:solidFill>
            <a:ln>
              <a:solidFill>
                <a:srgbClr val="00B0F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Toasten!$E$2:$E$4</c:f>
              <c:strCache>
                <c:ptCount val="3"/>
                <c:pt idx="0">
                  <c:v>Voederwaardeprijs ongetoast</c:v>
                </c:pt>
                <c:pt idx="1">
                  <c:v>Voederwaardeprijs getoast</c:v>
                </c:pt>
                <c:pt idx="2">
                  <c:v>Saldo toasten</c:v>
                </c:pt>
              </c:strCache>
            </c:strRef>
          </c:cat>
          <c:val>
            <c:numRef>
              <c:f>Toasten!$J$2:$J$4</c:f>
              <c:numCache>
                <c:formatCode>0</c:formatCode>
                <c:ptCount val="3"/>
                <c:pt idx="2">
                  <c:v>-44.565459999999973</c:v>
                </c:pt>
              </c:numCache>
            </c:numRef>
          </c:val>
          <c:extLst>
            <c:ext xmlns:c16="http://schemas.microsoft.com/office/drawing/2014/chart" uri="{C3380CC4-5D6E-409C-BE32-E72D297353CC}">
              <c16:uniqueId val="{00000003-F3DA-4688-A7B6-63A25EED32D3}"/>
            </c:ext>
          </c:extLst>
        </c:ser>
        <c:ser>
          <c:idx val="4"/>
          <c:order val="4"/>
          <c:tx>
            <c:strRef>
              <c:f>Toasten!$I$1</c:f>
              <c:strCache>
                <c:ptCount val="1"/>
                <c:pt idx="0">
                  <c:v>Transportkosten</c:v>
                </c:pt>
              </c:strCache>
            </c:strRef>
          </c:tx>
          <c:spPr>
            <a:solidFill>
              <a:srgbClr val="FFBDBD"/>
            </a:solidFill>
            <a:ln>
              <a:solidFill>
                <a:srgbClr val="FF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l-B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Toasten!$I$2:$I$4</c:f>
              <c:numCache>
                <c:formatCode>0</c:formatCode>
                <c:ptCount val="3"/>
                <c:pt idx="1">
                  <c:v>-5</c:v>
                </c:pt>
              </c:numCache>
            </c:numRef>
          </c:val>
          <c:extLst>
            <c:ext xmlns:c16="http://schemas.microsoft.com/office/drawing/2014/chart" uri="{C3380CC4-5D6E-409C-BE32-E72D297353CC}">
              <c16:uniqueId val="{00000000-40B9-4A67-B87A-F3882032D6DC}"/>
            </c:ext>
          </c:extLst>
        </c:ser>
        <c:dLbls>
          <c:dLblPos val="ctr"/>
          <c:showLegendKey val="0"/>
          <c:showVal val="1"/>
          <c:showCatName val="0"/>
          <c:showSerName val="0"/>
          <c:showPercent val="0"/>
          <c:showBubbleSize val="0"/>
        </c:dLbls>
        <c:gapWidth val="150"/>
        <c:overlap val="100"/>
        <c:axId val="1289613232"/>
        <c:axId val="1289614064"/>
      </c:barChart>
      <c:catAx>
        <c:axId val="1289613232"/>
        <c:scaling>
          <c:orientation val="minMax"/>
        </c:scaling>
        <c:delete val="0"/>
        <c:axPos val="b"/>
        <c:numFmt formatCode="General" sourceLinked="1"/>
        <c:majorTickMark val="none"/>
        <c:minorTickMark val="none"/>
        <c:tickLblPos val="low"/>
        <c:spPr>
          <a:noFill/>
          <a:ln w="12700"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crossAx val="1289614064"/>
        <c:crosses val="autoZero"/>
        <c:auto val="1"/>
        <c:lblAlgn val="ctr"/>
        <c:lblOffset val="100"/>
        <c:noMultiLvlLbl val="0"/>
      </c:catAx>
      <c:valAx>
        <c:axId val="1289614064"/>
        <c:scaling>
          <c:orientation val="minMax"/>
        </c:scaling>
        <c:delete val="0"/>
        <c:axPos val="l"/>
        <c:majorGridlines>
          <c:spPr>
            <a:ln w="9525" cap="flat" cmpd="sng" algn="ctr">
              <a:solidFill>
                <a:schemeClr val="tx1"/>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nl-BE" sz="1100">
                    <a:solidFill>
                      <a:schemeClr val="tx1"/>
                    </a:solidFill>
                  </a:rPr>
                  <a:t>Euro/ton VS</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nl-BE"/>
          </a:p>
        </c:txPr>
        <c:crossAx val="12896132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nl-BE"/>
        </a:p>
      </c:txPr>
    </c:legend>
    <c:plotVisOnly val="1"/>
    <c:dispBlanksAs val="gap"/>
    <c:showDLblsOverMax val="0"/>
  </c:chart>
  <c:spPr>
    <a:blipFill dpi="0" rotWithShape="1">
      <a:blip xmlns:r="http://schemas.openxmlformats.org/officeDocument/2006/relationships" r:embed="rId3">
        <a:alphaModFix amt="40000"/>
      </a:blip>
      <a:srcRect/>
      <a:stretch>
        <a:fillRect/>
      </a:stretch>
    </a:blipFill>
    <a:ln w="9525" cap="flat" cmpd="sng" algn="ctr">
      <a:solidFill>
        <a:schemeClr val="tx1"/>
      </a:solidFill>
      <a:round/>
    </a:ln>
    <a:effectLst/>
  </c:spPr>
  <c:txPr>
    <a:bodyPr/>
    <a:lstStyle/>
    <a:p>
      <a:pPr>
        <a:defRPr/>
      </a:pPr>
      <a:endParaRPr lang="nl-B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chart" Target="../charts/chart2.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37</xdr:row>
      <xdr:rowOff>7620</xdr:rowOff>
    </xdr:from>
    <xdr:to>
      <xdr:col>0</xdr:col>
      <xdr:colOff>551321</xdr:colOff>
      <xdr:row>39</xdr:row>
      <xdr:rowOff>157941</xdr:rowOff>
    </xdr:to>
    <xdr:pic>
      <xdr:nvPicPr>
        <xdr:cNvPr id="2" name="Afbeelding 1">
          <a:extLst>
            <a:ext uri="{FF2B5EF4-FFF2-40B4-BE49-F238E27FC236}">
              <a16:creationId xmlns:a16="http://schemas.microsoft.com/office/drawing/2014/main" id="{0B299CBD-5FAF-4FAA-AF4B-B8DBE0C663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74180"/>
          <a:ext cx="551321" cy="516081"/>
        </a:xfrm>
        <a:prstGeom prst="rect">
          <a:avLst/>
        </a:prstGeom>
      </xdr:spPr>
    </xdr:pic>
    <xdr:clientData/>
  </xdr:twoCellAnchor>
  <xdr:twoCellAnchor editAs="oneCell">
    <xdr:from>
      <xdr:col>0</xdr:col>
      <xdr:colOff>563881</xdr:colOff>
      <xdr:row>37</xdr:row>
      <xdr:rowOff>15240</xdr:rowOff>
    </xdr:from>
    <xdr:to>
      <xdr:col>8</xdr:col>
      <xdr:colOff>548641</xdr:colOff>
      <xdr:row>39</xdr:row>
      <xdr:rowOff>175067</xdr:rowOff>
    </xdr:to>
    <xdr:pic>
      <xdr:nvPicPr>
        <xdr:cNvPr id="3" name="Afbeelding 2">
          <a:extLst>
            <a:ext uri="{FF2B5EF4-FFF2-40B4-BE49-F238E27FC236}">
              <a16:creationId xmlns:a16="http://schemas.microsoft.com/office/drawing/2014/main" id="{9465EDCD-14F7-4172-BBEA-A02E8784787B}"/>
            </a:ext>
          </a:extLst>
        </xdr:cNvPr>
        <xdr:cNvPicPr>
          <a:picLocks noChangeAspect="1"/>
        </xdr:cNvPicPr>
      </xdr:nvPicPr>
      <xdr:blipFill rotWithShape="1">
        <a:blip xmlns:r="http://schemas.openxmlformats.org/officeDocument/2006/relationships" r:embed="rId2"/>
        <a:srcRect l="9903"/>
        <a:stretch/>
      </xdr:blipFill>
      <xdr:spPr>
        <a:xfrm>
          <a:off x="563881" y="6781800"/>
          <a:ext cx="4861560" cy="525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68580</xdr:colOff>
      <xdr:row>8</xdr:row>
      <xdr:rowOff>179070</xdr:rowOff>
    </xdr:from>
    <xdr:to>
      <xdr:col>12</xdr:col>
      <xdr:colOff>83820</xdr:colOff>
      <xdr:row>27</xdr:row>
      <xdr:rowOff>53340</xdr:rowOff>
    </xdr:to>
    <xdr:graphicFrame macro="">
      <xdr:nvGraphicFramePr>
        <xdr:cNvPr id="12" name="Grafiek 11">
          <a:extLst>
            <a:ext uri="{FF2B5EF4-FFF2-40B4-BE49-F238E27FC236}">
              <a16:creationId xmlns:a16="http://schemas.microsoft.com/office/drawing/2014/main" id="{BEBB0FF2-9855-F853-A6EF-75986BC3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657225</xdr:colOff>
      <xdr:row>49</xdr:row>
      <xdr:rowOff>12812</xdr:rowOff>
    </xdr:from>
    <xdr:to>
      <xdr:col>3</xdr:col>
      <xdr:colOff>1231862</xdr:colOff>
      <xdr:row>52</xdr:row>
      <xdr:rowOff>95250</xdr:rowOff>
    </xdr:to>
    <xdr:pic>
      <xdr:nvPicPr>
        <xdr:cNvPr id="3" name="Afbeelding 2">
          <a:extLst>
            <a:ext uri="{FF2B5EF4-FFF2-40B4-BE49-F238E27FC236}">
              <a16:creationId xmlns:a16="http://schemas.microsoft.com/office/drawing/2014/main" id="{B5B478FF-6B9E-C663-FDDF-CDEBF111C953}"/>
            </a:ext>
          </a:extLst>
        </xdr:cNvPr>
        <xdr:cNvPicPr>
          <a:picLocks noChangeAspect="1"/>
        </xdr:cNvPicPr>
      </xdr:nvPicPr>
      <xdr:blipFill rotWithShape="1">
        <a:blip xmlns:r="http://schemas.openxmlformats.org/officeDocument/2006/relationships" r:embed="rId2"/>
        <a:srcRect l="9903"/>
        <a:stretch/>
      </xdr:blipFill>
      <xdr:spPr>
        <a:xfrm>
          <a:off x="657225" y="8975837"/>
          <a:ext cx="5892308" cy="625363"/>
        </a:xfrm>
        <a:prstGeom prst="rect">
          <a:avLst/>
        </a:prstGeom>
      </xdr:spPr>
    </xdr:pic>
    <xdr:clientData/>
  </xdr:twoCellAnchor>
  <xdr:twoCellAnchor editAs="oneCell">
    <xdr:from>
      <xdr:col>0</xdr:col>
      <xdr:colOff>3403</xdr:colOff>
      <xdr:row>49</xdr:row>
      <xdr:rowOff>10615</xdr:rowOff>
    </xdr:from>
    <xdr:to>
      <xdr:col>0</xdr:col>
      <xdr:colOff>672232</xdr:colOff>
      <xdr:row>52</xdr:row>
      <xdr:rowOff>81521</xdr:rowOff>
    </xdr:to>
    <xdr:pic>
      <xdr:nvPicPr>
        <xdr:cNvPr id="4" name="Afbeelding 3">
          <a:extLst>
            <a:ext uri="{FF2B5EF4-FFF2-40B4-BE49-F238E27FC236}">
              <a16:creationId xmlns:a16="http://schemas.microsoft.com/office/drawing/2014/main" id="{E7234787-FFC2-A516-81AB-D2863071CD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03" y="8943704"/>
          <a:ext cx="668829" cy="6117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177437</xdr:colOff>
      <xdr:row>8</xdr:row>
      <xdr:rowOff>175260</xdr:rowOff>
    </xdr:from>
    <xdr:to>
      <xdr:col>14</xdr:col>
      <xdr:colOff>239486</xdr:colOff>
      <xdr:row>27</xdr:row>
      <xdr:rowOff>0</xdr:rowOff>
    </xdr:to>
    <xdr:graphicFrame macro="">
      <xdr:nvGraphicFramePr>
        <xdr:cNvPr id="3" name="Grafiek 2">
          <a:extLst>
            <a:ext uri="{FF2B5EF4-FFF2-40B4-BE49-F238E27FC236}">
              <a16:creationId xmlns:a16="http://schemas.microsoft.com/office/drawing/2014/main" id="{5E0C92AD-9EFC-152B-563E-5737FCC46F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706235</xdr:colOff>
      <xdr:row>47</xdr:row>
      <xdr:rowOff>15240</xdr:rowOff>
    </xdr:from>
    <xdr:to>
      <xdr:col>3</xdr:col>
      <xdr:colOff>1700167</xdr:colOff>
      <xdr:row>50</xdr:row>
      <xdr:rowOff>161909</xdr:rowOff>
    </xdr:to>
    <xdr:pic>
      <xdr:nvPicPr>
        <xdr:cNvPr id="10" name="Afbeelding 9">
          <a:extLst>
            <a:ext uri="{FF2B5EF4-FFF2-40B4-BE49-F238E27FC236}">
              <a16:creationId xmlns:a16="http://schemas.microsoft.com/office/drawing/2014/main" id="{B5BDFD8F-016D-E106-59D7-E479CBF017CE}"/>
            </a:ext>
          </a:extLst>
        </xdr:cNvPr>
        <xdr:cNvPicPr>
          <a:picLocks noChangeAspect="1"/>
        </xdr:cNvPicPr>
      </xdr:nvPicPr>
      <xdr:blipFill rotWithShape="1">
        <a:blip xmlns:r="http://schemas.openxmlformats.org/officeDocument/2006/relationships" r:embed="rId2"/>
        <a:srcRect l="9847"/>
        <a:stretch/>
      </xdr:blipFill>
      <xdr:spPr>
        <a:xfrm>
          <a:off x="706235" y="8111490"/>
          <a:ext cx="6332467" cy="692192"/>
        </a:xfrm>
        <a:prstGeom prst="rect">
          <a:avLst/>
        </a:prstGeom>
      </xdr:spPr>
    </xdr:pic>
    <xdr:clientData/>
  </xdr:twoCellAnchor>
  <xdr:twoCellAnchor editAs="oneCell">
    <xdr:from>
      <xdr:col>0</xdr:col>
      <xdr:colOff>22167</xdr:colOff>
      <xdr:row>47</xdr:row>
      <xdr:rowOff>67367</xdr:rowOff>
    </xdr:from>
    <xdr:to>
      <xdr:col>0</xdr:col>
      <xdr:colOff>696711</xdr:colOff>
      <xdr:row>50</xdr:row>
      <xdr:rowOff>129824</xdr:rowOff>
    </xdr:to>
    <xdr:pic>
      <xdr:nvPicPr>
        <xdr:cNvPr id="2" name="Afbeelding 1">
          <a:extLst>
            <a:ext uri="{FF2B5EF4-FFF2-40B4-BE49-F238E27FC236}">
              <a16:creationId xmlns:a16="http://schemas.microsoft.com/office/drawing/2014/main" id="{661163AF-CEEB-4C60-AB20-1B24627D07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167" y="8163617"/>
          <a:ext cx="674544" cy="607980"/>
        </a:xfrm>
        <a:prstGeom prst="rect">
          <a:avLst/>
        </a:prstGeom>
      </xdr:spPr>
    </xdr:pic>
    <xdr:clientData/>
  </xdr:twoCellAnchor>
  <xdr:twoCellAnchor>
    <xdr:from>
      <xdr:col>4</xdr:col>
      <xdr:colOff>174171</xdr:colOff>
      <xdr:row>29</xdr:row>
      <xdr:rowOff>10885</xdr:rowOff>
    </xdr:from>
    <xdr:to>
      <xdr:col>14</xdr:col>
      <xdr:colOff>239485</xdr:colOff>
      <xdr:row>47</xdr:row>
      <xdr:rowOff>0</xdr:rowOff>
    </xdr:to>
    <xdr:graphicFrame macro="">
      <xdr:nvGraphicFramePr>
        <xdr:cNvPr id="5" name="Grafiek 4">
          <a:extLst>
            <a:ext uri="{FF2B5EF4-FFF2-40B4-BE49-F238E27FC236}">
              <a16:creationId xmlns:a16="http://schemas.microsoft.com/office/drawing/2014/main" id="{E08B8F39-3DCC-74E6-F08C-038733A59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124460</xdr:colOff>
      <xdr:row>5</xdr:row>
      <xdr:rowOff>12277</xdr:rowOff>
    </xdr:from>
    <xdr:to>
      <xdr:col>11</xdr:col>
      <xdr:colOff>292100</xdr:colOff>
      <xdr:row>25</xdr:row>
      <xdr:rowOff>153247</xdr:rowOff>
    </xdr:to>
    <xdr:graphicFrame macro="">
      <xdr:nvGraphicFramePr>
        <xdr:cNvPr id="5" name="Grafiek 4">
          <a:extLst>
            <a:ext uri="{FF2B5EF4-FFF2-40B4-BE49-F238E27FC236}">
              <a16:creationId xmlns:a16="http://schemas.microsoft.com/office/drawing/2014/main" id="{ED9E6745-8BF3-6C05-C75D-DA995C0874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645794</xdr:colOff>
      <xdr:row>33</xdr:row>
      <xdr:rowOff>15240</xdr:rowOff>
    </xdr:from>
    <xdr:to>
      <xdr:col>3</xdr:col>
      <xdr:colOff>902759</xdr:colOff>
      <xdr:row>36</xdr:row>
      <xdr:rowOff>21636</xdr:rowOff>
    </xdr:to>
    <xdr:pic>
      <xdr:nvPicPr>
        <xdr:cNvPr id="2" name="Afbeelding 1">
          <a:extLst>
            <a:ext uri="{FF2B5EF4-FFF2-40B4-BE49-F238E27FC236}">
              <a16:creationId xmlns:a16="http://schemas.microsoft.com/office/drawing/2014/main" id="{EC4A49BA-C810-873E-FB46-930BD6D94C9A}"/>
            </a:ext>
          </a:extLst>
        </xdr:cNvPr>
        <xdr:cNvPicPr>
          <a:picLocks noChangeAspect="1"/>
        </xdr:cNvPicPr>
      </xdr:nvPicPr>
      <xdr:blipFill rotWithShape="1">
        <a:blip xmlns:r="http://schemas.openxmlformats.org/officeDocument/2006/relationships" r:embed="rId2"/>
        <a:srcRect l="9602"/>
        <a:stretch/>
      </xdr:blipFill>
      <xdr:spPr>
        <a:xfrm>
          <a:off x="645794" y="6054090"/>
          <a:ext cx="5202556" cy="549321"/>
        </a:xfrm>
        <a:prstGeom prst="rect">
          <a:avLst/>
        </a:prstGeom>
      </xdr:spPr>
    </xdr:pic>
    <xdr:clientData/>
  </xdr:twoCellAnchor>
  <xdr:twoCellAnchor editAs="oneCell">
    <xdr:from>
      <xdr:col>0</xdr:col>
      <xdr:colOff>0</xdr:colOff>
      <xdr:row>32</xdr:row>
      <xdr:rowOff>171449</xdr:rowOff>
    </xdr:from>
    <xdr:to>
      <xdr:col>0</xdr:col>
      <xdr:colOff>587759</xdr:colOff>
      <xdr:row>35</xdr:row>
      <xdr:rowOff>168524</xdr:rowOff>
    </xdr:to>
    <xdr:pic>
      <xdr:nvPicPr>
        <xdr:cNvPr id="3" name="Afbeelding 2">
          <a:extLst>
            <a:ext uri="{FF2B5EF4-FFF2-40B4-BE49-F238E27FC236}">
              <a16:creationId xmlns:a16="http://schemas.microsoft.com/office/drawing/2014/main" id="{094FDD92-EB5D-4D4C-AC99-33EC30925BA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6029324"/>
          <a:ext cx="587759" cy="54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5F4FD1-6E52-4F76-B37A-00CA5ECAEF46}" name="Eindproduct" displayName="Eindproduct" ref="C1:C4" totalsRowShown="0" dataDxfId="83">
  <autoFilter ref="C1:C4" xr:uid="{785F4FD1-6E52-4F76-B37A-00CA5ECAEF46}"/>
  <sortState xmlns:xlrd2="http://schemas.microsoft.com/office/spreadsheetml/2017/richdata2" ref="C2:C3">
    <sortCondition ref="C1:C3"/>
  </sortState>
  <tableColumns count="1">
    <tableColumn id="1" xr3:uid="{F211DA11-06C3-4AE1-95C6-58F4CD4FE338}" name="Teeltwijze" dataDxfId="8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F028BADE-8B53-4E80-B27F-82B0C8B912ED}" name="Tabel22" displayName="Tabel22" ref="S1:S3" totalsRowShown="0">
  <autoFilter ref="S1:S3" xr:uid="{F028BADE-8B53-4E80-B27F-82B0C8B912ED}"/>
  <tableColumns count="1">
    <tableColumn id="1" xr3:uid="{F41630FF-CD41-41AB-AB7B-143C29DEDC76}" name="Verkoopprijs"/>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F99D632-6851-4B12-B188-72DDBBA2056D}" name="Tabel2" displayName="Tabel2" ref="U1:U3" totalsRowShown="0">
  <autoFilter ref="U1:U3" xr:uid="{4F99D632-6851-4B12-B188-72DDBBA2056D}"/>
  <tableColumns count="1">
    <tableColumn id="1" xr3:uid="{F1B7795C-5D6E-4122-B5F4-FC3A40B5BD32}" name="Bedrijfstyp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F04DB99-F189-4D9F-A375-7D1D919D143C}" name="Tabel12" displayName="Tabel12" ref="A1:A3" totalsRowShown="0">
  <autoFilter ref="A1:A3" xr:uid="{AF04DB99-F189-4D9F-A375-7D1D919D143C}"/>
  <sortState xmlns:xlrd2="http://schemas.microsoft.com/office/spreadsheetml/2017/richdata2" ref="A2:A3">
    <sortCondition ref="A1:A3"/>
  </sortState>
  <tableColumns count="1">
    <tableColumn id="1" xr3:uid="{C337E3FD-4A3D-457A-A01D-A3C782B6194C}" name="Invulwij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E7131B59-5EE6-4B08-A9B9-D53DA2C5BF40}" name="Tabel13" displayName="Tabel13" ref="E1:E12" totalsRowShown="0" dataDxfId="81">
  <autoFilter ref="E1:E12" xr:uid="{E7131B59-5EE6-4B08-A9B9-D53DA2C5BF40}"/>
  <sortState xmlns:xlrd2="http://schemas.microsoft.com/office/spreadsheetml/2017/richdata2" ref="E2:E12">
    <sortCondition ref="E1:E12"/>
  </sortState>
  <tableColumns count="1">
    <tableColumn id="1" xr3:uid="{2A7A4307-2EC9-40CD-B01E-D2E687F315CD}" name="Bewerkingen" dataDxfId="8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2B13397-192D-4692-A7F9-7F617C8DDBDE}" name="Gehele_plant_silage" displayName="Gehele_plant_silage" ref="G1:G2" totalsRowShown="0">
  <autoFilter ref="G1:G2" xr:uid="{42B13397-192D-4692-A7F9-7F617C8DDBDE}"/>
  <sortState xmlns:xlrd2="http://schemas.microsoft.com/office/spreadsheetml/2017/richdata2" ref="G2">
    <sortCondition ref="G1:G2"/>
  </sortState>
  <tableColumns count="1">
    <tableColumn id="1" xr3:uid="{BBF97962-44B4-4880-A15A-F0323943816F}" name="Gehele plant silage">
      <calculatedColumnFormula>""</calculatedColumnFormula>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279C8EE-5190-4101-A322-C3F7E8C71AAC}" name="Mengteelt" displayName="Mengteelt" ref="I1:I13" totalsRowShown="0">
  <autoFilter ref="I1:I13" xr:uid="{F279C8EE-5190-4101-A322-C3F7E8C71AAC}"/>
  <sortState xmlns:xlrd2="http://schemas.microsoft.com/office/spreadsheetml/2017/richdata2" ref="I2:I13">
    <sortCondition ref="I1:I13"/>
  </sortState>
  <tableColumns count="1">
    <tableColumn id="1" xr3:uid="{CD013089-9D2A-4124-B2DF-B8F9A26C4E85}" name="Mengteel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508F6C6-9001-4D75-AA1D-97E0A980047D}" name="Reincultuur" displayName="Reincultuur" ref="K1:K7" totalsRowShown="0">
  <autoFilter ref="K1:K7" xr:uid="{6508F6C6-9001-4D75-AA1D-97E0A980047D}"/>
  <sortState xmlns:xlrd2="http://schemas.microsoft.com/office/spreadsheetml/2017/richdata2" ref="K2:K7">
    <sortCondition ref="K1:K7"/>
  </sortState>
  <tableColumns count="1">
    <tableColumn id="1" xr3:uid="{BC28FDCF-786B-42E6-AAF1-21576D1FC65F}" name="Reincultuur"/>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F71102-818B-4EE0-8A06-2DF6E0BF226F}" name="Tabel19" displayName="Tabel19" ref="M1:M3" totalsRowShown="0">
  <autoFilter ref="M1:M3" xr:uid="{74F71102-818B-4EE0-8A06-2DF6E0BF226F}"/>
  <tableColumns count="1">
    <tableColumn id="1" xr3:uid="{C8E3D128-C565-4BC6-AE3A-0B57D9FD5F3B}" name="Invulwijze vervoedering"/>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FDCD5CAD-7342-47AF-91E1-325122C58F71}" name="Tabel20" displayName="Tabel20" ref="O1:O3" totalsRowShown="0">
  <autoFilter ref="O1:O3" xr:uid="{FDCD5CAD-7342-47AF-91E1-325122C58F71}"/>
  <tableColumns count="1">
    <tableColumn id="1" xr3:uid="{80755CBE-F65D-436B-A29E-3FC40EB9730A}" name="Vochtgehalte/DS"/>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FF7E1532-4E55-483E-B1E8-7FB7DF158C00}" name="Tabel21" displayName="Tabel21" ref="Q1:Q3" totalsRowShown="0">
  <autoFilter ref="Q1:Q3" xr:uid="{FF7E1532-4E55-483E-B1E8-7FB7DF158C00}"/>
  <tableColumns count="1">
    <tableColumn id="1" xr3:uid="{CB1B1D78-524D-4AAE-AC8D-2EF32B16D68C}" name="Eenheid"/>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03821-0DB2-4E97-852F-864E6E3338CA}">
  <dimension ref="A1:I37"/>
  <sheetViews>
    <sheetView tabSelected="1" workbookViewId="0">
      <selection activeCell="L11" sqref="L11"/>
    </sheetView>
  </sheetViews>
  <sheetFormatPr defaultRowHeight="14.4" x14ac:dyDescent="0.3"/>
  <sheetData>
    <row r="1" spans="1:9" x14ac:dyDescent="0.3">
      <c r="A1" s="95" t="s">
        <v>140</v>
      </c>
    </row>
    <row r="2" spans="1:9" ht="14.4" customHeight="1" x14ac:dyDescent="0.3">
      <c r="A2" s="99" t="s">
        <v>138</v>
      </c>
      <c r="B2" s="99"/>
      <c r="C2" s="99"/>
      <c r="D2" s="99"/>
      <c r="E2" s="99"/>
      <c r="F2" s="99"/>
      <c r="G2" s="99"/>
      <c r="H2" s="99"/>
      <c r="I2" s="99"/>
    </row>
    <row r="3" spans="1:9" x14ac:dyDescent="0.3">
      <c r="A3" s="99"/>
      <c r="B3" s="99"/>
      <c r="C3" s="99"/>
      <c r="D3" s="99"/>
      <c r="E3" s="99"/>
      <c r="F3" s="99"/>
      <c r="G3" s="99"/>
      <c r="H3" s="99"/>
      <c r="I3" s="99"/>
    </row>
    <row r="4" spans="1:9" x14ac:dyDescent="0.3">
      <c r="A4" s="99"/>
      <c r="B4" s="99"/>
      <c r="C4" s="99"/>
      <c r="D4" s="99"/>
      <c r="E4" s="99"/>
      <c r="F4" s="99"/>
      <c r="G4" s="99"/>
      <c r="H4" s="99"/>
      <c r="I4" s="99"/>
    </row>
    <row r="5" spans="1:9" x14ac:dyDescent="0.3">
      <c r="A5" s="96" t="s">
        <v>139</v>
      </c>
    </row>
    <row r="6" spans="1:9" ht="14.4" customHeight="1" x14ac:dyDescent="0.3">
      <c r="A6" s="99" t="s">
        <v>145</v>
      </c>
      <c r="B6" s="99"/>
      <c r="C6" s="99"/>
      <c r="D6" s="99"/>
      <c r="E6" s="99"/>
      <c r="F6" s="99"/>
      <c r="G6" s="99"/>
      <c r="H6" s="99"/>
      <c r="I6" s="99"/>
    </row>
    <row r="7" spans="1:9" x14ac:dyDescent="0.3">
      <c r="A7" s="99"/>
      <c r="B7" s="99"/>
      <c r="C7" s="99"/>
      <c r="D7" s="99"/>
      <c r="E7" s="99"/>
      <c r="F7" s="99"/>
      <c r="G7" s="99"/>
      <c r="H7" s="99"/>
      <c r="I7" s="99"/>
    </row>
    <row r="8" spans="1:9" x14ac:dyDescent="0.3">
      <c r="A8" s="99"/>
      <c r="B8" s="99"/>
      <c r="C8" s="99"/>
      <c r="D8" s="99"/>
      <c r="E8" s="99"/>
      <c r="F8" s="99"/>
      <c r="G8" s="99"/>
      <c r="H8" s="99"/>
      <c r="I8" s="99"/>
    </row>
    <row r="9" spans="1:9" x14ac:dyDescent="0.3">
      <c r="A9" s="99"/>
      <c r="B9" s="99"/>
      <c r="C9" s="99"/>
      <c r="D9" s="99"/>
      <c r="E9" s="99"/>
      <c r="F9" s="99"/>
      <c r="G9" s="99"/>
      <c r="H9" s="99"/>
      <c r="I9" s="99"/>
    </row>
    <row r="10" spans="1:9" x14ac:dyDescent="0.3">
      <c r="A10" s="99"/>
      <c r="B10" s="99"/>
      <c r="C10" s="99"/>
      <c r="D10" s="99"/>
      <c r="E10" s="99"/>
      <c r="F10" s="99"/>
      <c r="G10" s="99"/>
      <c r="H10" s="99"/>
      <c r="I10" s="99"/>
    </row>
    <row r="11" spans="1:9" x14ac:dyDescent="0.3">
      <c r="A11" s="99"/>
      <c r="B11" s="99"/>
      <c r="C11" s="99"/>
      <c r="D11" s="99"/>
      <c r="E11" s="99"/>
      <c r="F11" s="99"/>
      <c r="G11" s="99"/>
      <c r="H11" s="99"/>
      <c r="I11" s="99"/>
    </row>
    <row r="12" spans="1:9" x14ac:dyDescent="0.3">
      <c r="A12" s="99"/>
      <c r="B12" s="99"/>
      <c r="C12" s="99"/>
      <c r="D12" s="99"/>
      <c r="E12" s="99"/>
      <c r="F12" s="99"/>
      <c r="G12" s="99"/>
      <c r="H12" s="99"/>
      <c r="I12" s="99"/>
    </row>
    <row r="13" spans="1:9" x14ac:dyDescent="0.3">
      <c r="A13" s="99"/>
      <c r="B13" s="99"/>
      <c r="C13" s="99"/>
      <c r="D13" s="99"/>
      <c r="E13" s="99"/>
      <c r="F13" s="99"/>
      <c r="G13" s="99"/>
      <c r="H13" s="99"/>
      <c r="I13" s="99"/>
    </row>
    <row r="14" spans="1:9" x14ac:dyDescent="0.3">
      <c r="A14" s="99"/>
      <c r="B14" s="99"/>
      <c r="C14" s="99"/>
      <c r="D14" s="99"/>
      <c r="E14" s="99"/>
      <c r="F14" s="99"/>
      <c r="G14" s="99"/>
      <c r="H14" s="99"/>
      <c r="I14" s="99"/>
    </row>
    <row r="15" spans="1:9" x14ac:dyDescent="0.3">
      <c r="A15" s="99"/>
      <c r="B15" s="99"/>
      <c r="C15" s="99"/>
      <c r="D15" s="99"/>
      <c r="E15" s="99"/>
      <c r="F15" s="99"/>
      <c r="G15" s="99"/>
      <c r="H15" s="99"/>
      <c r="I15" s="99"/>
    </row>
    <row r="16" spans="1:9" x14ac:dyDescent="0.3">
      <c r="A16" s="96" t="s">
        <v>141</v>
      </c>
    </row>
    <row r="17" spans="1:9" ht="14.4" customHeight="1" x14ac:dyDescent="0.3">
      <c r="A17" s="99" t="s">
        <v>146</v>
      </c>
      <c r="B17" s="99"/>
      <c r="C17" s="99"/>
      <c r="D17" s="99"/>
      <c r="E17" s="99"/>
      <c r="F17" s="99"/>
      <c r="G17" s="99"/>
      <c r="H17" s="99"/>
      <c r="I17" s="99"/>
    </row>
    <row r="18" spans="1:9" x14ac:dyDescent="0.3">
      <c r="A18" s="99"/>
      <c r="B18" s="99"/>
      <c r="C18" s="99"/>
      <c r="D18" s="99"/>
      <c r="E18" s="99"/>
      <c r="F18" s="99"/>
      <c r="G18" s="99"/>
      <c r="H18" s="99"/>
      <c r="I18" s="99"/>
    </row>
    <row r="19" spans="1:9" x14ac:dyDescent="0.3">
      <c r="A19" s="99"/>
      <c r="B19" s="99"/>
      <c r="C19" s="99"/>
      <c r="D19" s="99"/>
      <c r="E19" s="99"/>
      <c r="F19" s="99"/>
      <c r="G19" s="99"/>
      <c r="H19" s="99"/>
      <c r="I19" s="99"/>
    </row>
    <row r="20" spans="1:9" x14ac:dyDescent="0.3">
      <c r="A20" s="99"/>
      <c r="B20" s="99"/>
      <c r="C20" s="99"/>
      <c r="D20" s="99"/>
      <c r="E20" s="99"/>
      <c r="F20" s="99"/>
      <c r="G20" s="99"/>
      <c r="H20" s="99"/>
      <c r="I20" s="99"/>
    </row>
    <row r="21" spans="1:9" x14ac:dyDescent="0.3">
      <c r="A21" s="99"/>
      <c r="B21" s="99"/>
      <c r="C21" s="99"/>
      <c r="D21" s="99"/>
      <c r="E21" s="99"/>
      <c r="F21" s="99"/>
      <c r="G21" s="99"/>
      <c r="H21" s="99"/>
      <c r="I21" s="99"/>
    </row>
    <row r="22" spans="1:9" x14ac:dyDescent="0.3">
      <c r="A22" s="96" t="s">
        <v>142</v>
      </c>
    </row>
    <row r="23" spans="1:9" ht="14.4" customHeight="1" x14ac:dyDescent="0.3">
      <c r="A23" s="99" t="s">
        <v>147</v>
      </c>
      <c r="B23" s="99"/>
      <c r="C23" s="99"/>
      <c r="D23" s="99"/>
      <c r="E23" s="99"/>
      <c r="F23" s="99"/>
      <c r="G23" s="99"/>
      <c r="H23" s="99"/>
      <c r="I23" s="99"/>
    </row>
    <row r="24" spans="1:9" x14ac:dyDescent="0.3">
      <c r="A24" s="99"/>
      <c r="B24" s="99"/>
      <c r="C24" s="99"/>
      <c r="D24" s="99"/>
      <c r="E24" s="99"/>
      <c r="F24" s="99"/>
      <c r="G24" s="99"/>
      <c r="H24" s="99"/>
      <c r="I24" s="99"/>
    </row>
    <row r="25" spans="1:9" x14ac:dyDescent="0.3">
      <c r="A25" s="99"/>
      <c r="B25" s="99"/>
      <c r="C25" s="99"/>
      <c r="D25" s="99"/>
      <c r="E25" s="99"/>
      <c r="F25" s="99"/>
      <c r="G25" s="99"/>
      <c r="H25" s="99"/>
      <c r="I25" s="99"/>
    </row>
    <row r="26" spans="1:9" x14ac:dyDescent="0.3">
      <c r="A26" s="99"/>
      <c r="B26" s="99"/>
      <c r="C26" s="99"/>
      <c r="D26" s="99"/>
      <c r="E26" s="99"/>
      <c r="F26" s="99"/>
      <c r="G26" s="99"/>
      <c r="H26" s="99"/>
      <c r="I26" s="99"/>
    </row>
    <row r="27" spans="1:9" x14ac:dyDescent="0.3">
      <c r="A27" s="99"/>
      <c r="B27" s="99"/>
      <c r="C27" s="99"/>
      <c r="D27" s="99"/>
      <c r="E27" s="99"/>
      <c r="F27" s="99"/>
      <c r="G27" s="99"/>
      <c r="H27" s="99"/>
      <c r="I27" s="99"/>
    </row>
    <row r="28" spans="1:9" x14ac:dyDescent="0.3">
      <c r="A28" s="99"/>
      <c r="B28" s="99"/>
      <c r="C28" s="99"/>
      <c r="D28" s="99"/>
      <c r="E28" s="99"/>
      <c r="F28" s="99"/>
      <c r="G28" s="99"/>
      <c r="H28" s="99"/>
      <c r="I28" s="99"/>
    </row>
    <row r="29" spans="1:9" x14ac:dyDescent="0.3">
      <c r="A29" s="99"/>
      <c r="B29" s="99"/>
      <c r="C29" s="99"/>
      <c r="D29" s="99"/>
      <c r="E29" s="99"/>
      <c r="F29" s="99"/>
      <c r="G29" s="99"/>
      <c r="H29" s="99"/>
      <c r="I29" s="99"/>
    </row>
    <row r="30" spans="1:9" x14ac:dyDescent="0.3">
      <c r="A30" s="99"/>
      <c r="B30" s="99"/>
      <c r="C30" s="99"/>
      <c r="D30" s="99"/>
      <c r="E30" s="99"/>
      <c r="F30" s="99"/>
      <c r="G30" s="99"/>
      <c r="H30" s="99"/>
      <c r="I30" s="99"/>
    </row>
    <row r="31" spans="1:9" x14ac:dyDescent="0.3">
      <c r="A31" s="96" t="s">
        <v>12</v>
      </c>
    </row>
    <row r="32" spans="1:9" ht="14.4" customHeight="1" x14ac:dyDescent="0.3">
      <c r="A32" s="99" t="s">
        <v>148</v>
      </c>
      <c r="B32" s="99"/>
      <c r="C32" s="99"/>
      <c r="D32" s="99"/>
      <c r="E32" s="99"/>
      <c r="F32" s="99"/>
      <c r="G32" s="99"/>
      <c r="H32" s="99"/>
      <c r="I32" s="99"/>
    </row>
    <row r="33" spans="1:9" x14ac:dyDescent="0.3">
      <c r="A33" s="99"/>
      <c r="B33" s="99"/>
      <c r="C33" s="99"/>
      <c r="D33" s="99"/>
      <c r="E33" s="99"/>
      <c r="F33" s="99"/>
      <c r="G33" s="99"/>
      <c r="H33" s="99"/>
      <c r="I33" s="99"/>
    </row>
    <row r="34" spans="1:9" x14ac:dyDescent="0.3">
      <c r="A34" s="99"/>
      <c r="B34" s="99"/>
      <c r="C34" s="99"/>
      <c r="D34" s="99"/>
      <c r="E34" s="99"/>
      <c r="F34" s="99"/>
      <c r="G34" s="99"/>
      <c r="H34" s="99"/>
      <c r="I34" s="99"/>
    </row>
    <row r="35" spans="1:9" x14ac:dyDescent="0.3">
      <c r="A35" s="99"/>
      <c r="B35" s="99"/>
      <c r="C35" s="99"/>
      <c r="D35" s="99"/>
      <c r="E35" s="99"/>
      <c r="F35" s="99"/>
      <c r="G35" s="99"/>
      <c r="H35" s="99"/>
      <c r="I35" s="99"/>
    </row>
    <row r="36" spans="1:9" x14ac:dyDescent="0.3">
      <c r="A36" s="99"/>
      <c r="B36" s="99"/>
      <c r="C36" s="99"/>
      <c r="D36" s="99"/>
      <c r="E36" s="99"/>
      <c r="F36" s="99"/>
      <c r="G36" s="99"/>
      <c r="H36" s="99"/>
      <c r="I36" s="99"/>
    </row>
    <row r="37" spans="1:9" x14ac:dyDescent="0.3">
      <c r="A37" s="99"/>
      <c r="B37" s="99"/>
      <c r="C37" s="99"/>
      <c r="D37" s="99"/>
      <c r="E37" s="99"/>
      <c r="F37" s="99"/>
      <c r="G37" s="99"/>
      <c r="H37" s="99"/>
      <c r="I37" s="99"/>
    </row>
  </sheetData>
  <sheetProtection algorithmName="SHA-512" hashValue="U7yyvfyoJovvPx//SnRhORz0Xadk80q9eiGC41WB7sz6NV5p0IxnS8ekDvY/mpcvgWKRW9edttBUVJu2byEwLA==" saltValue="UnN1n+d4e/HmgtefjIvFww==" spinCount="100000" sheet="1" objects="1" scenarios="1"/>
  <mergeCells count="5">
    <mergeCell ref="A23:I30"/>
    <mergeCell ref="A17:I21"/>
    <mergeCell ref="A6:I15"/>
    <mergeCell ref="A32:I37"/>
    <mergeCell ref="A2:I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741A-1526-4AEA-BBCA-519845A9CB14}">
  <dimension ref="A1:AA250"/>
  <sheetViews>
    <sheetView zoomScale="70" zoomScaleNormal="70" workbookViewId="0">
      <selection activeCell="C15" sqref="C15"/>
    </sheetView>
  </sheetViews>
  <sheetFormatPr defaultRowHeight="14.4" x14ac:dyDescent="0.3"/>
  <cols>
    <col min="1" max="1" width="31.33203125" customWidth="1"/>
    <col min="2" max="2" width="30.109375" customWidth="1"/>
    <col min="3" max="3" width="16.109375" bestFit="1" customWidth="1"/>
    <col min="4" max="4" width="22.5546875" customWidth="1"/>
    <col min="7" max="8" width="14.5546875" bestFit="1" customWidth="1"/>
    <col min="9" max="9" width="13.5546875" bestFit="1" customWidth="1"/>
  </cols>
  <sheetData>
    <row r="1" spans="1:27" ht="19.8" x14ac:dyDescent="0.4">
      <c r="A1" s="123" t="s">
        <v>0</v>
      </c>
      <c r="B1" s="124"/>
      <c r="C1" s="124"/>
      <c r="D1" s="125"/>
      <c r="E1" s="62"/>
      <c r="F1" s="62"/>
      <c r="G1" s="62" t="s">
        <v>87</v>
      </c>
      <c r="H1" s="62" t="s">
        <v>88</v>
      </c>
      <c r="I1" s="62" t="s">
        <v>95</v>
      </c>
      <c r="J1" s="62"/>
      <c r="K1" s="62"/>
      <c r="L1" s="62"/>
      <c r="M1" s="53"/>
      <c r="N1" s="53"/>
      <c r="O1" s="53"/>
      <c r="P1" s="53"/>
      <c r="Q1" s="53"/>
      <c r="R1" s="53"/>
      <c r="S1" s="52"/>
      <c r="T1" s="52"/>
      <c r="U1" s="52"/>
      <c r="V1" s="52"/>
      <c r="W1" s="52"/>
      <c r="X1" s="52"/>
      <c r="Y1" s="52"/>
      <c r="Z1" s="52"/>
      <c r="AA1" s="52"/>
    </row>
    <row r="2" spans="1:27" x14ac:dyDescent="0.3">
      <c r="A2" s="139"/>
      <c r="B2" s="140"/>
      <c r="C2" s="140"/>
      <c r="D2" s="80"/>
      <c r="E2" s="53"/>
      <c r="F2" s="53" t="str">
        <f>IF(B7="Per ha","Totaal vaste kosten","Totaal vaste kosten")</f>
        <v>Totaal vaste kosten</v>
      </c>
      <c r="G2" s="54">
        <f>C20</f>
        <v>1170</v>
      </c>
      <c r="H2" s="54"/>
      <c r="I2" s="54"/>
      <c r="J2" s="53"/>
      <c r="K2" s="53"/>
      <c r="L2" s="53"/>
      <c r="M2" s="53"/>
      <c r="N2" s="53"/>
      <c r="O2" s="53"/>
      <c r="P2" s="53"/>
      <c r="Q2" s="53"/>
      <c r="R2" s="53"/>
      <c r="S2" s="52"/>
      <c r="T2" s="52"/>
      <c r="U2" s="52"/>
      <c r="V2" s="52"/>
      <c r="W2" s="52"/>
      <c r="X2" s="52"/>
      <c r="Y2" s="52"/>
      <c r="Z2" s="52"/>
      <c r="AA2" s="52"/>
    </row>
    <row r="3" spans="1:27" x14ac:dyDescent="0.3">
      <c r="A3" s="126" t="s">
        <v>66</v>
      </c>
      <c r="B3" s="127"/>
      <c r="C3" s="127"/>
      <c r="D3" s="128"/>
      <c r="E3" s="53"/>
      <c r="F3" s="53" t="str">
        <f>IF(B7="Per ha","Totaal variabele kosten","Totaal variabele kosten")</f>
        <v>Totaal variabele kosten</v>
      </c>
      <c r="G3" s="54">
        <f>C28</f>
        <v>340</v>
      </c>
      <c r="H3" s="54"/>
      <c r="I3" s="54"/>
      <c r="J3" s="53"/>
      <c r="K3" s="53"/>
      <c r="L3" s="53"/>
      <c r="M3" s="53"/>
      <c r="N3" s="53"/>
      <c r="O3" s="53"/>
      <c r="P3" s="53"/>
      <c r="Q3" s="53"/>
      <c r="R3" s="53"/>
      <c r="S3" s="52"/>
      <c r="T3" s="52"/>
      <c r="U3" s="52"/>
      <c r="V3" s="52"/>
      <c r="W3" s="52"/>
      <c r="X3" s="52"/>
      <c r="Y3" s="52"/>
      <c r="Z3" s="52"/>
      <c r="AA3" s="52"/>
    </row>
    <row r="4" spans="1:27" x14ac:dyDescent="0.3">
      <c r="A4" s="141"/>
      <c r="B4" s="142"/>
      <c r="C4" s="142"/>
      <c r="D4" s="80"/>
      <c r="E4" s="53"/>
      <c r="F4" s="53" t="s">
        <v>92</v>
      </c>
      <c r="G4" s="54"/>
      <c r="H4" s="54">
        <f>C34</f>
        <v>600</v>
      </c>
      <c r="I4" s="54"/>
      <c r="J4" s="53"/>
      <c r="K4" s="53"/>
      <c r="L4" s="53"/>
      <c r="M4" s="53"/>
      <c r="N4" s="53"/>
      <c r="O4" s="53"/>
      <c r="P4" s="53"/>
      <c r="Q4" s="53"/>
      <c r="R4" s="53"/>
      <c r="S4" s="52"/>
      <c r="T4" s="52"/>
      <c r="U4" s="52"/>
      <c r="V4" s="52"/>
      <c r="W4" s="52"/>
      <c r="X4" s="52"/>
      <c r="Y4" s="52"/>
      <c r="Z4" s="52"/>
      <c r="AA4" s="52"/>
    </row>
    <row r="5" spans="1:27" x14ac:dyDescent="0.3">
      <c r="A5" s="85" t="s">
        <v>29</v>
      </c>
      <c r="B5" s="56" t="s">
        <v>16</v>
      </c>
      <c r="C5" s="145"/>
      <c r="D5" s="80"/>
      <c r="E5" s="53"/>
      <c r="F5" s="53" t="str">
        <f>IF(D4="Per ha","Totale opbrengst teelt","Totale opbrengst teelt")</f>
        <v>Totale opbrengst teelt</v>
      </c>
      <c r="G5" s="54"/>
      <c r="H5" s="54">
        <f>C39</f>
        <v>1650</v>
      </c>
      <c r="I5" s="54"/>
      <c r="J5" s="53"/>
      <c r="K5" s="53"/>
      <c r="L5" s="53"/>
      <c r="M5" s="53"/>
      <c r="N5" s="53"/>
      <c r="O5" s="53"/>
      <c r="P5" s="53"/>
      <c r="Q5" s="53"/>
      <c r="R5" s="53"/>
      <c r="S5" s="52"/>
      <c r="T5" s="52"/>
      <c r="U5" s="52"/>
      <c r="V5" s="52"/>
      <c r="W5" s="52"/>
      <c r="X5" s="52"/>
      <c r="Y5" s="52"/>
      <c r="Z5" s="52"/>
      <c r="AA5" s="52"/>
    </row>
    <row r="6" spans="1:27" x14ac:dyDescent="0.3">
      <c r="A6" s="85" t="str">
        <f>IF(B5="Gehele plant silage","","Beoogde bewerkingen na oogst")</f>
        <v>Beoogde bewerkingen na oogst</v>
      </c>
      <c r="B6" s="56" t="s">
        <v>28</v>
      </c>
      <c r="C6" s="145"/>
      <c r="D6" s="80"/>
      <c r="E6" s="53"/>
      <c r="F6" s="53" t="s">
        <v>95</v>
      </c>
      <c r="G6" s="54"/>
      <c r="H6" s="54"/>
      <c r="I6" s="54">
        <f>C45</f>
        <v>740</v>
      </c>
      <c r="J6" s="53"/>
      <c r="K6" s="53"/>
      <c r="L6" s="53"/>
      <c r="M6" s="53"/>
      <c r="N6" s="53"/>
      <c r="O6" s="53"/>
      <c r="P6" s="53"/>
      <c r="Q6" s="53"/>
      <c r="R6" s="53"/>
      <c r="S6" s="52"/>
      <c r="T6" s="52"/>
      <c r="U6" s="52"/>
      <c r="V6" s="52"/>
      <c r="W6" s="52"/>
      <c r="X6" s="52"/>
      <c r="Y6" s="52"/>
      <c r="Z6" s="52"/>
      <c r="AA6" s="52"/>
    </row>
    <row r="7" spans="1:27" x14ac:dyDescent="0.3">
      <c r="A7" s="85" t="s">
        <v>6</v>
      </c>
      <c r="B7" s="56" t="s">
        <v>4</v>
      </c>
      <c r="C7" s="145"/>
      <c r="D7" s="80"/>
      <c r="E7" s="53"/>
      <c r="F7" s="53"/>
      <c r="G7" s="53"/>
      <c r="H7" s="53"/>
      <c r="I7" s="53"/>
      <c r="J7" s="53"/>
      <c r="K7" s="53"/>
      <c r="L7" s="53"/>
      <c r="M7" s="53"/>
      <c r="N7" s="53"/>
      <c r="O7" s="53"/>
      <c r="P7" s="53"/>
      <c r="Q7" s="53"/>
      <c r="R7" s="53"/>
      <c r="S7" s="52"/>
      <c r="T7" s="52"/>
      <c r="U7" s="52"/>
      <c r="V7" s="52"/>
      <c r="W7" s="52"/>
      <c r="X7" s="52"/>
      <c r="Y7" s="52"/>
      <c r="Z7" s="52"/>
      <c r="AA7" s="52"/>
    </row>
    <row r="8" spans="1:27" x14ac:dyDescent="0.3">
      <c r="A8" s="86" t="str">
        <f>IF(B7="Per ha","","Oppervlakte veldbonenteelt (ha)")</f>
        <v/>
      </c>
      <c r="B8" s="57">
        <v>1.2</v>
      </c>
      <c r="C8" s="145"/>
      <c r="D8" s="80"/>
      <c r="E8" s="53"/>
      <c r="F8" s="53"/>
      <c r="G8" s="53"/>
      <c r="H8" s="53"/>
      <c r="I8" s="53"/>
      <c r="J8" s="53"/>
      <c r="K8" s="53"/>
      <c r="L8" s="53"/>
      <c r="M8" s="53"/>
      <c r="N8" s="53"/>
      <c r="O8" s="53"/>
      <c r="P8" s="53"/>
      <c r="Q8" s="53"/>
      <c r="R8" s="53"/>
      <c r="S8" s="52"/>
      <c r="T8" s="52"/>
      <c r="U8" s="52"/>
      <c r="V8" s="52"/>
      <c r="W8" s="52"/>
      <c r="X8" s="52"/>
      <c r="Y8" s="52"/>
      <c r="Z8" s="52"/>
      <c r="AA8" s="52"/>
    </row>
    <row r="9" spans="1:27" x14ac:dyDescent="0.3">
      <c r="A9" s="143"/>
      <c r="B9" s="144"/>
      <c r="C9" s="144"/>
      <c r="D9" s="87"/>
      <c r="E9" s="53"/>
      <c r="F9" s="53"/>
      <c r="G9" s="53"/>
      <c r="H9" s="53"/>
      <c r="I9" s="53"/>
      <c r="J9" s="53"/>
      <c r="K9" s="53"/>
      <c r="L9" s="53"/>
      <c r="M9" s="53"/>
      <c r="N9" s="53"/>
      <c r="O9" s="53"/>
      <c r="P9" s="53"/>
      <c r="Q9" s="53"/>
      <c r="R9" s="53"/>
      <c r="S9" s="52"/>
      <c r="T9" s="52"/>
      <c r="U9" s="52"/>
      <c r="V9" s="52"/>
      <c r="W9" s="52"/>
      <c r="X9" s="52"/>
      <c r="Y9" s="52"/>
      <c r="Z9" s="52"/>
      <c r="AA9" s="52"/>
    </row>
    <row r="10" spans="1:27" x14ac:dyDescent="0.3">
      <c r="A10" s="146" t="s">
        <v>13</v>
      </c>
      <c r="B10" s="147"/>
      <c r="C10" s="148"/>
      <c r="D10" s="45" t="s">
        <v>98</v>
      </c>
      <c r="E10" s="53"/>
      <c r="F10" s="53"/>
      <c r="G10" s="53"/>
      <c r="H10" s="53"/>
      <c r="I10" s="53"/>
      <c r="J10" s="53"/>
      <c r="K10" s="53"/>
      <c r="L10" s="53"/>
      <c r="M10" s="53"/>
      <c r="N10" s="53"/>
      <c r="O10" s="53"/>
      <c r="P10" s="53"/>
      <c r="Q10" s="53"/>
      <c r="R10" s="53"/>
      <c r="S10" s="52"/>
      <c r="T10" s="52"/>
      <c r="U10" s="52"/>
      <c r="V10" s="52"/>
      <c r="W10" s="52"/>
      <c r="X10" s="52"/>
      <c r="Y10" s="52"/>
      <c r="Z10" s="52"/>
      <c r="AA10" s="52"/>
    </row>
    <row r="11" spans="1:27" x14ac:dyDescent="0.3">
      <c r="A11" s="136"/>
      <c r="B11" s="137"/>
      <c r="C11" s="138"/>
      <c r="D11" s="46"/>
      <c r="E11" s="53"/>
      <c r="F11" s="53"/>
      <c r="G11" s="53"/>
      <c r="H11" s="53"/>
      <c r="I11" s="53"/>
      <c r="J11" s="53"/>
      <c r="K11" s="53"/>
      <c r="L11" s="53"/>
      <c r="M11" s="53"/>
      <c r="N11" s="53"/>
      <c r="O11" s="53"/>
      <c r="P11" s="53"/>
      <c r="Q11" s="53"/>
      <c r="R11" s="53"/>
      <c r="S11" s="52"/>
      <c r="T11" s="52"/>
      <c r="U11" s="52"/>
      <c r="V11" s="52"/>
      <c r="W11" s="52"/>
      <c r="X11" s="52"/>
      <c r="Y11" s="52"/>
      <c r="Z11" s="52"/>
      <c r="AA11" s="52"/>
    </row>
    <row r="12" spans="1:27" x14ac:dyDescent="0.3">
      <c r="A12" s="133" t="s">
        <v>7</v>
      </c>
      <c r="B12" s="134"/>
      <c r="C12" s="135"/>
      <c r="D12" s="46"/>
      <c r="E12" s="53"/>
      <c r="F12" s="53"/>
      <c r="G12" s="53"/>
      <c r="H12" s="53"/>
      <c r="I12" s="53"/>
      <c r="J12" s="53"/>
      <c r="K12" s="53"/>
      <c r="L12" s="53"/>
      <c r="M12" s="53"/>
      <c r="N12" s="53"/>
      <c r="O12" s="53"/>
      <c r="P12" s="53"/>
      <c r="Q12" s="53"/>
      <c r="R12" s="53"/>
      <c r="S12" s="52"/>
      <c r="T12" s="52"/>
      <c r="U12" s="52"/>
      <c r="V12" s="52"/>
      <c r="W12" s="52"/>
      <c r="X12" s="52"/>
      <c r="Y12" s="52"/>
      <c r="Z12" s="52"/>
      <c r="AA12" s="52"/>
    </row>
    <row r="13" spans="1:27" x14ac:dyDescent="0.3">
      <c r="A13" s="63" t="s">
        <v>30</v>
      </c>
      <c r="B13" s="3"/>
      <c r="C13" s="58">
        <v>300</v>
      </c>
      <c r="D13" s="36" t="s">
        <v>105</v>
      </c>
      <c r="E13" s="53"/>
      <c r="F13" s="53"/>
      <c r="G13" s="53"/>
      <c r="H13" s="53"/>
      <c r="I13" s="53"/>
      <c r="J13" s="53"/>
      <c r="K13" s="53"/>
      <c r="L13" s="53"/>
      <c r="M13" s="53"/>
      <c r="N13" s="53"/>
      <c r="O13" s="53"/>
      <c r="P13" s="53"/>
      <c r="Q13" s="53"/>
      <c r="R13" s="53"/>
      <c r="S13" s="52"/>
      <c r="T13" s="52"/>
      <c r="U13" s="52"/>
      <c r="V13" s="52"/>
      <c r="W13" s="52"/>
      <c r="X13" s="52"/>
      <c r="Y13" s="52"/>
      <c r="Z13" s="52"/>
      <c r="AA13" s="52"/>
    </row>
    <row r="14" spans="1:27" x14ac:dyDescent="0.3">
      <c r="A14" s="63" t="s">
        <v>31</v>
      </c>
      <c r="B14" s="3"/>
      <c r="C14" s="58">
        <v>170</v>
      </c>
      <c r="D14" s="36" t="s">
        <v>133</v>
      </c>
      <c r="E14" s="53"/>
      <c r="F14" s="53"/>
      <c r="G14" s="53"/>
      <c r="H14" s="53"/>
      <c r="I14" s="53"/>
      <c r="J14" s="53"/>
      <c r="K14" s="53"/>
      <c r="L14" s="53"/>
      <c r="M14" s="53"/>
      <c r="N14" s="53"/>
      <c r="O14" s="53"/>
      <c r="P14" s="53"/>
      <c r="Q14" s="53"/>
      <c r="R14" s="53"/>
      <c r="S14" s="52"/>
      <c r="T14" s="52"/>
      <c r="U14" s="52"/>
      <c r="V14" s="52"/>
      <c r="W14" s="52"/>
      <c r="X14" s="52"/>
      <c r="Y14" s="52"/>
      <c r="Z14" s="52"/>
      <c r="AA14" s="52"/>
    </row>
    <row r="15" spans="1:27" x14ac:dyDescent="0.3">
      <c r="A15" s="63" t="s">
        <v>8</v>
      </c>
      <c r="B15" s="3" t="s">
        <v>32</v>
      </c>
      <c r="C15" s="58">
        <v>280</v>
      </c>
      <c r="D15" s="36" t="s">
        <v>104</v>
      </c>
      <c r="E15" s="53"/>
      <c r="F15" s="53"/>
      <c r="G15" s="53"/>
      <c r="H15" s="53"/>
      <c r="I15" s="53"/>
      <c r="J15" s="53"/>
      <c r="K15" s="53"/>
      <c r="L15" s="53"/>
      <c r="M15" s="53"/>
      <c r="N15" s="53"/>
      <c r="O15" s="53"/>
      <c r="P15" s="53"/>
      <c r="Q15" s="53"/>
      <c r="R15" s="53"/>
      <c r="S15" s="52"/>
      <c r="T15" s="52"/>
      <c r="U15" s="52"/>
      <c r="V15" s="52"/>
      <c r="W15" s="52"/>
      <c r="X15" s="52"/>
      <c r="Y15" s="52"/>
      <c r="Z15" s="52"/>
      <c r="AA15" s="52"/>
    </row>
    <row r="16" spans="1:27" x14ac:dyDescent="0.3">
      <c r="A16" s="64"/>
      <c r="B16" s="65" t="s">
        <v>33</v>
      </c>
      <c r="C16" s="59">
        <v>100</v>
      </c>
      <c r="D16" s="36" t="s">
        <v>134</v>
      </c>
      <c r="E16" s="53"/>
      <c r="F16" s="53"/>
      <c r="G16" s="53"/>
      <c r="H16" s="53"/>
      <c r="I16" s="53"/>
      <c r="J16" s="53"/>
      <c r="K16" s="53"/>
      <c r="L16" s="53"/>
      <c r="M16" s="53"/>
      <c r="N16" s="53"/>
      <c r="O16" s="53"/>
      <c r="P16" s="53"/>
      <c r="Q16" s="53"/>
      <c r="R16" s="53"/>
      <c r="S16" s="52"/>
      <c r="T16" s="52"/>
      <c r="U16" s="52"/>
      <c r="V16" s="52"/>
      <c r="W16" s="52"/>
      <c r="X16" s="52"/>
      <c r="Y16" s="52"/>
      <c r="Z16" s="52"/>
      <c r="AA16" s="52"/>
    </row>
    <row r="17" spans="1:27" x14ac:dyDescent="0.3">
      <c r="A17" s="63" t="s">
        <v>9</v>
      </c>
      <c r="B17" s="3" t="s">
        <v>136</v>
      </c>
      <c r="C17" s="58">
        <v>70</v>
      </c>
      <c r="D17" s="36"/>
      <c r="E17" s="53"/>
      <c r="F17" s="53"/>
      <c r="G17" s="53"/>
      <c r="H17" s="53"/>
      <c r="I17" s="53"/>
      <c r="J17" s="53"/>
      <c r="K17" s="53"/>
      <c r="L17" s="53"/>
      <c r="M17" s="53"/>
      <c r="N17" s="53"/>
      <c r="O17" s="53"/>
      <c r="P17" s="53"/>
      <c r="Q17" s="53"/>
      <c r="R17" s="53"/>
      <c r="S17" s="52"/>
      <c r="T17" s="52"/>
      <c r="U17" s="52"/>
      <c r="V17" s="52"/>
      <c r="W17" s="52"/>
      <c r="X17" s="52"/>
      <c r="Y17" s="52"/>
      <c r="Z17" s="52"/>
      <c r="AA17" s="52"/>
    </row>
    <row r="18" spans="1:27" x14ac:dyDescent="0.3">
      <c r="A18" s="64"/>
      <c r="B18" s="65" t="s">
        <v>34</v>
      </c>
      <c r="C18" s="59">
        <v>50</v>
      </c>
      <c r="D18" s="36"/>
      <c r="E18" s="53"/>
      <c r="F18" s="53"/>
      <c r="G18" s="53"/>
      <c r="H18" s="53"/>
      <c r="I18" s="53"/>
      <c r="J18" s="53"/>
      <c r="K18" s="53"/>
      <c r="L18" s="53"/>
      <c r="M18" s="53"/>
      <c r="N18" s="53"/>
      <c r="O18" s="53"/>
      <c r="P18" s="53"/>
      <c r="Q18" s="53"/>
      <c r="R18" s="53"/>
      <c r="S18" s="52"/>
      <c r="T18" s="52"/>
      <c r="U18" s="52"/>
      <c r="V18" s="52"/>
      <c r="W18" s="52"/>
      <c r="X18" s="52"/>
      <c r="Y18" s="52"/>
      <c r="Z18" s="52"/>
      <c r="AA18" s="52"/>
    </row>
    <row r="19" spans="1:27" x14ac:dyDescent="0.3">
      <c r="A19" s="63" t="s">
        <v>35</v>
      </c>
      <c r="B19" s="3"/>
      <c r="C19" s="58">
        <v>200</v>
      </c>
      <c r="D19" s="36" t="s">
        <v>137</v>
      </c>
      <c r="E19" s="53"/>
      <c r="F19" s="53"/>
      <c r="G19" s="53"/>
      <c r="H19" s="53"/>
      <c r="I19" s="53"/>
      <c r="J19" s="53"/>
      <c r="K19" s="53"/>
      <c r="L19" s="53"/>
      <c r="M19" s="53"/>
      <c r="N19" s="53"/>
      <c r="O19" s="53"/>
      <c r="P19" s="53"/>
      <c r="Q19" s="53"/>
      <c r="R19" s="53"/>
      <c r="S19" s="52"/>
      <c r="T19" s="52"/>
      <c r="U19" s="52"/>
      <c r="V19" s="52"/>
      <c r="W19" s="52"/>
      <c r="X19" s="52"/>
      <c r="Y19" s="52"/>
      <c r="Z19" s="52"/>
      <c r="AA19" s="52"/>
    </row>
    <row r="20" spans="1:27" x14ac:dyDescent="0.3">
      <c r="A20" s="131" t="str">
        <f>IF(B7="Per ha","Totaal vaste kosten (€/ha)","Totaal vaste kosten (€)")</f>
        <v>Totaal vaste kosten (€/ha)</v>
      </c>
      <c r="B20" s="132"/>
      <c r="C20" s="3">
        <f>SUM(C13:C19)</f>
        <v>1170</v>
      </c>
      <c r="D20" s="36"/>
      <c r="E20" s="53"/>
      <c r="F20" s="53"/>
      <c r="G20" s="53"/>
      <c r="H20" s="53"/>
      <c r="I20" s="53"/>
      <c r="J20" s="53"/>
      <c r="K20" s="53"/>
      <c r="L20" s="53"/>
      <c r="M20" s="53"/>
      <c r="N20" s="53"/>
      <c r="O20" s="53"/>
      <c r="P20" s="53"/>
      <c r="Q20" s="53"/>
      <c r="R20" s="53"/>
      <c r="S20" s="52"/>
      <c r="T20" s="52"/>
      <c r="U20" s="52"/>
      <c r="V20" s="52"/>
      <c r="W20" s="52"/>
      <c r="X20" s="52"/>
      <c r="Y20" s="52"/>
      <c r="Z20" s="52"/>
      <c r="AA20" s="52"/>
    </row>
    <row r="21" spans="1:27" x14ac:dyDescent="0.3">
      <c r="A21" s="102" t="str">
        <f>IF(B7="Over volledig areaal veldbonen","Per ha","")</f>
        <v/>
      </c>
      <c r="B21" s="103"/>
      <c r="C21" s="24" t="str">
        <f>IF(B7="Over volledig areaal veldbonen",C20/B8,"")</f>
        <v/>
      </c>
      <c r="D21" s="36"/>
      <c r="E21" s="53"/>
      <c r="F21" s="53"/>
      <c r="G21" s="53"/>
      <c r="H21" s="53"/>
      <c r="I21" s="53"/>
      <c r="J21" s="53"/>
      <c r="K21" s="53"/>
      <c r="L21" s="53"/>
      <c r="M21" s="53"/>
      <c r="N21" s="53"/>
      <c r="O21" s="53"/>
      <c r="P21" s="53"/>
      <c r="Q21" s="53"/>
      <c r="R21" s="53"/>
      <c r="S21" s="52"/>
      <c r="T21" s="52"/>
      <c r="U21" s="52"/>
      <c r="V21" s="52"/>
      <c r="W21" s="52"/>
      <c r="X21" s="52"/>
      <c r="Y21" s="52"/>
      <c r="Z21" s="52"/>
      <c r="AA21" s="52"/>
    </row>
    <row r="22" spans="1:27" x14ac:dyDescent="0.3">
      <c r="A22" s="133" t="s">
        <v>10</v>
      </c>
      <c r="B22" s="134"/>
      <c r="C22" s="135"/>
      <c r="D22" s="36"/>
      <c r="E22" s="53"/>
      <c r="F22" s="53"/>
      <c r="G22" s="53"/>
      <c r="H22" s="53"/>
      <c r="I22" s="53"/>
      <c r="J22" s="53"/>
      <c r="K22" s="53"/>
      <c r="L22" s="53"/>
      <c r="M22" s="53"/>
      <c r="N22" s="53"/>
      <c r="O22" s="53"/>
      <c r="P22" s="53"/>
      <c r="Q22" s="53"/>
      <c r="R22" s="53"/>
      <c r="S22" s="52"/>
      <c r="T22" s="52"/>
      <c r="U22" s="52"/>
      <c r="V22" s="52"/>
      <c r="W22" s="52"/>
      <c r="X22" s="52"/>
      <c r="Y22" s="52"/>
      <c r="Z22" s="52"/>
      <c r="AA22" s="52"/>
    </row>
    <row r="23" spans="1:27" x14ac:dyDescent="0.3">
      <c r="A23" s="63" t="s">
        <v>11</v>
      </c>
      <c r="B23" s="3" t="s">
        <v>36</v>
      </c>
      <c r="C23" s="58">
        <v>300</v>
      </c>
      <c r="D23" s="36" t="s">
        <v>105</v>
      </c>
      <c r="E23" s="53"/>
      <c r="F23" s="53"/>
      <c r="G23" s="53"/>
      <c r="H23" s="53"/>
      <c r="I23" s="53"/>
      <c r="J23" s="53"/>
      <c r="K23" s="53"/>
      <c r="L23" s="53"/>
      <c r="M23" s="53"/>
      <c r="N23" s="53"/>
      <c r="O23" s="53"/>
      <c r="P23" s="53"/>
      <c r="Q23" s="53"/>
      <c r="R23" s="53"/>
      <c r="S23" s="52"/>
      <c r="T23" s="52"/>
      <c r="U23" s="52"/>
      <c r="V23" s="52"/>
      <c r="W23" s="52"/>
      <c r="X23" s="52"/>
      <c r="Y23" s="52"/>
      <c r="Z23" s="52"/>
      <c r="AA23" s="52"/>
    </row>
    <row r="24" spans="1:27" x14ac:dyDescent="0.3">
      <c r="A24" s="64"/>
      <c r="B24" s="65" t="s">
        <v>37</v>
      </c>
      <c r="C24" s="59">
        <v>40</v>
      </c>
      <c r="D24" s="36" t="s">
        <v>135</v>
      </c>
      <c r="E24" s="53"/>
      <c r="F24" s="53"/>
      <c r="G24" s="53"/>
      <c r="H24" s="53"/>
      <c r="I24" s="53"/>
      <c r="J24" s="53"/>
      <c r="K24" s="53"/>
      <c r="L24" s="53"/>
      <c r="M24" s="53"/>
      <c r="N24" s="53"/>
      <c r="O24" s="53"/>
      <c r="P24" s="53"/>
      <c r="Q24" s="53"/>
      <c r="R24" s="53"/>
      <c r="S24" s="52"/>
      <c r="T24" s="52"/>
      <c r="U24" s="52"/>
      <c r="V24" s="52"/>
      <c r="W24" s="52"/>
      <c r="X24" s="52"/>
      <c r="Y24" s="52"/>
      <c r="Z24" s="52"/>
      <c r="AA24" s="52"/>
    </row>
    <row r="25" spans="1:27" x14ac:dyDescent="0.3">
      <c r="A25" s="47" t="str">
        <f>IF(OR(B6="Geen",B6="Malen",B6="Pletten",B6="Toasten",B6="Toasten &amp; malen",B6="Toasten &amp; pletten"),"","Triage (€)")</f>
        <v/>
      </c>
      <c r="B25" s="4"/>
      <c r="C25" s="60">
        <v>300</v>
      </c>
      <c r="D25" s="36" t="str">
        <f>IF(OR(B5="Gehele plant silage",A25=""),"","55 €/ton")</f>
        <v/>
      </c>
      <c r="E25" s="53"/>
      <c r="F25" s="53"/>
      <c r="G25" s="53"/>
      <c r="H25" s="53"/>
      <c r="I25" s="53"/>
      <c r="J25" s="53"/>
      <c r="K25" s="53"/>
      <c r="L25" s="53"/>
      <c r="M25" s="53"/>
      <c r="N25" s="53"/>
      <c r="O25" s="53"/>
      <c r="P25" s="53"/>
      <c r="Q25" s="53"/>
      <c r="R25" s="53"/>
      <c r="S25" s="52"/>
      <c r="T25" s="52"/>
      <c r="U25" s="52"/>
      <c r="V25" s="52"/>
      <c r="W25" s="52"/>
      <c r="X25" s="52"/>
      <c r="Y25" s="52"/>
      <c r="Z25" s="52"/>
      <c r="AA25" s="52"/>
    </row>
    <row r="26" spans="1:27" x14ac:dyDescent="0.3">
      <c r="A26" s="47" t="str">
        <f>IF(OR(B6="Geen",B6="Malen",B6="Pletten",B6="Triëren/scheiden",B6="Triëren &amp; malen",B6="Triëren &amp; pletten"),"","Toasten (€)")</f>
        <v/>
      </c>
      <c r="B26" s="4"/>
      <c r="C26" s="60">
        <v>350</v>
      </c>
      <c r="D26" s="36" t="str">
        <f>IF(OR(B5="Gehele plant silage",A26=""),"","75 €/ton")</f>
        <v/>
      </c>
      <c r="E26" s="53"/>
      <c r="F26" s="53"/>
      <c r="G26" s="53"/>
      <c r="H26" s="53"/>
      <c r="I26" s="53"/>
      <c r="J26" s="53"/>
      <c r="K26" s="53"/>
      <c r="L26" s="53"/>
      <c r="M26" s="53"/>
      <c r="N26" s="53"/>
      <c r="O26" s="53"/>
      <c r="P26" s="53"/>
      <c r="Q26" s="53"/>
      <c r="R26" s="53"/>
      <c r="S26" s="52"/>
      <c r="T26" s="52"/>
      <c r="U26" s="52"/>
      <c r="V26" s="52"/>
      <c r="W26" s="52"/>
      <c r="X26" s="52"/>
      <c r="Y26" s="52"/>
      <c r="Z26" s="52"/>
      <c r="AA26" s="52"/>
    </row>
    <row r="27" spans="1:27" x14ac:dyDescent="0.3">
      <c r="A27" s="47" t="str">
        <f>IF(OR(B6="Geen",B6="Toasten",B6="Triëren/scheiden",B6="Toasten &amp; triëren"),"","Pletten/malen (€)")</f>
        <v/>
      </c>
      <c r="B27" s="4"/>
      <c r="C27" s="60">
        <v>150</v>
      </c>
      <c r="D27" s="36" t="str">
        <f>IF(OR(B5="Gehele plant silage",A27=""),"","35 €/ton")</f>
        <v/>
      </c>
      <c r="E27" s="53"/>
      <c r="F27" s="53"/>
      <c r="G27" s="53"/>
      <c r="H27" s="53"/>
      <c r="I27" s="53"/>
      <c r="J27" s="53"/>
      <c r="K27" s="53"/>
      <c r="L27" s="53"/>
      <c r="M27" s="53"/>
      <c r="N27" s="53"/>
      <c r="O27" s="53"/>
      <c r="P27" s="53"/>
      <c r="Q27" s="53"/>
      <c r="R27" s="53"/>
      <c r="S27" s="52"/>
      <c r="T27" s="52"/>
      <c r="U27" s="52"/>
      <c r="V27" s="52"/>
      <c r="W27" s="52"/>
      <c r="X27" s="52"/>
      <c r="Y27" s="52"/>
      <c r="Z27" s="52"/>
      <c r="AA27" s="52"/>
    </row>
    <row r="28" spans="1:27" x14ac:dyDescent="0.3">
      <c r="A28" s="131" t="str">
        <f>IF(B7="Per ha","Totaal variabele kosten (€/ha)","Totaal variabele kosten (€)")</f>
        <v>Totaal variabele kosten (€/ha)</v>
      </c>
      <c r="B28" s="132"/>
      <c r="C28" s="3">
        <f>IF(B5="Gehele plant silage",SUM(C23:C24),E28)</f>
        <v>340</v>
      </c>
      <c r="D28" s="36"/>
      <c r="E28" s="53">
        <f>IF(OR(B6="Toasten, triëren &amp; malen", B6="Toasten, triëren &amp; pletten"),SUM(C23:C27),IF(OR(B6="Triëren &amp; malen",B6="Triëren &amp; pletten"),SUM(C23:C25,C27),IF(B6="Triëren/scheiden",SUM(C23:C25),IF(OR(B6="Toasten &amp; malen",B6="Toasten &amp; pletten"),SUM(C23:C24,C26:C27),IF(B6="Toasten",SUM(C23:C24,C26),IF(B6="Toasten &amp; triëren",SUM(C23:C26),IF(OR(B6="Pletten",B6="Malen"),SUM(C23:C24,C27),SUM(C23:C24))))))))</f>
        <v>340</v>
      </c>
      <c r="F28" s="53"/>
      <c r="G28" s="53"/>
      <c r="H28" s="53"/>
      <c r="I28" s="53"/>
      <c r="J28" s="53"/>
      <c r="K28" s="53"/>
      <c r="L28" s="53"/>
      <c r="M28" s="53"/>
      <c r="N28" s="53"/>
      <c r="O28" s="53"/>
      <c r="P28" s="53"/>
      <c r="Q28" s="53"/>
      <c r="R28" s="53"/>
      <c r="S28" s="52"/>
      <c r="T28" s="52"/>
      <c r="U28" s="52"/>
      <c r="V28" s="52"/>
      <c r="W28" s="52"/>
      <c r="X28" s="52"/>
      <c r="Y28" s="52"/>
      <c r="Z28" s="52"/>
      <c r="AA28" s="52"/>
    </row>
    <row r="29" spans="1:27" x14ac:dyDescent="0.3">
      <c r="A29" s="102" t="str">
        <f>IF(B7="Over volledig areaal veldbonen","Per ha","")</f>
        <v/>
      </c>
      <c r="B29" s="103"/>
      <c r="C29" s="24" t="str">
        <f>IF(B7="Over volledig areaal veldbonen",C28/B8,"")</f>
        <v/>
      </c>
      <c r="D29" s="36"/>
      <c r="E29" s="53"/>
      <c r="F29" s="53"/>
      <c r="G29" s="53"/>
      <c r="H29" s="53"/>
      <c r="I29" s="53"/>
      <c r="J29" s="53"/>
      <c r="K29" s="53"/>
      <c r="L29" s="53"/>
      <c r="M29" s="53"/>
      <c r="N29" s="53"/>
      <c r="O29" s="53"/>
      <c r="P29" s="53"/>
      <c r="Q29" s="53"/>
      <c r="R29" s="53"/>
      <c r="S29" s="52"/>
      <c r="T29" s="52"/>
      <c r="U29" s="52"/>
      <c r="V29" s="52"/>
      <c r="W29" s="52"/>
      <c r="X29" s="52"/>
      <c r="Y29" s="52"/>
      <c r="Z29" s="52"/>
      <c r="AA29" s="52"/>
    </row>
    <row r="30" spans="1:27" x14ac:dyDescent="0.3">
      <c r="A30" s="129" t="str">
        <f>IF(B7="Per ha","Totale teeltkosten (€/ha)","Totale teeltkosten (€)")</f>
        <v>Totale teeltkosten (€/ha)</v>
      </c>
      <c r="B30" s="130"/>
      <c r="C30" s="66">
        <f>C20+C28</f>
        <v>1510</v>
      </c>
      <c r="D30" s="36"/>
      <c r="E30" s="53"/>
      <c r="F30" s="53"/>
      <c r="G30" s="53"/>
      <c r="H30" s="53"/>
      <c r="I30" s="53"/>
      <c r="J30" s="53"/>
      <c r="K30" s="53"/>
      <c r="L30" s="53"/>
      <c r="M30" s="53"/>
      <c r="N30" s="53"/>
      <c r="O30" s="53"/>
      <c r="P30" s="53"/>
      <c r="Q30" s="53"/>
      <c r="R30" s="53"/>
      <c r="S30" s="52"/>
      <c r="T30" s="52"/>
      <c r="U30" s="52"/>
      <c r="V30" s="52"/>
      <c r="W30" s="52"/>
      <c r="X30" s="52"/>
      <c r="Y30" s="52"/>
      <c r="Z30" s="52"/>
      <c r="AA30" s="52"/>
    </row>
    <row r="31" spans="1:27" x14ac:dyDescent="0.3">
      <c r="A31" s="102" t="str">
        <f>IF(B7="Over volledig areaal veldbonen","Per ha","")</f>
        <v/>
      </c>
      <c r="B31" s="103"/>
      <c r="C31" s="24" t="str">
        <f>IF(B7="Over volledig areaal veldbonen",C29+C21,"")</f>
        <v/>
      </c>
      <c r="D31" s="36"/>
      <c r="E31" s="53"/>
      <c r="F31" s="53"/>
      <c r="G31" s="53"/>
      <c r="H31" s="53"/>
      <c r="I31" s="53"/>
      <c r="J31" s="53"/>
      <c r="K31" s="53"/>
      <c r="L31" s="53"/>
      <c r="M31" s="53"/>
      <c r="N31" s="53"/>
      <c r="O31" s="53"/>
      <c r="P31" s="53"/>
      <c r="Q31" s="53"/>
      <c r="R31" s="53"/>
      <c r="S31" s="52"/>
      <c r="T31" s="52"/>
      <c r="U31" s="52"/>
      <c r="V31" s="52"/>
      <c r="W31" s="52"/>
      <c r="X31" s="52"/>
      <c r="Y31" s="52"/>
      <c r="Z31" s="52"/>
      <c r="AA31" s="52"/>
    </row>
    <row r="32" spans="1:27" x14ac:dyDescent="0.3">
      <c r="A32" s="104"/>
      <c r="B32" s="105"/>
      <c r="C32" s="106"/>
      <c r="D32" s="36"/>
      <c r="E32" s="53"/>
      <c r="F32" s="53"/>
      <c r="G32" s="53"/>
      <c r="H32" s="53"/>
      <c r="I32" s="53"/>
      <c r="J32" s="53"/>
      <c r="K32" s="53"/>
      <c r="L32" s="53"/>
      <c r="M32" s="53"/>
      <c r="N32" s="53"/>
      <c r="O32" s="53"/>
      <c r="P32" s="53"/>
      <c r="Q32" s="53"/>
      <c r="R32" s="53"/>
      <c r="S32" s="52"/>
      <c r="T32" s="52"/>
      <c r="U32" s="52"/>
      <c r="V32" s="52"/>
      <c r="W32" s="52"/>
      <c r="X32" s="52"/>
      <c r="Y32" s="52"/>
      <c r="Z32" s="52"/>
      <c r="AA32" s="52"/>
    </row>
    <row r="33" spans="1:27" x14ac:dyDescent="0.3">
      <c r="A33" s="113" t="s">
        <v>14</v>
      </c>
      <c r="B33" s="114"/>
      <c r="C33" s="115"/>
      <c r="D33" s="36"/>
      <c r="E33" s="53"/>
      <c r="F33" s="53"/>
      <c r="G33" s="53"/>
      <c r="H33" s="53"/>
      <c r="I33" s="53"/>
      <c r="J33" s="53"/>
      <c r="K33" s="53"/>
      <c r="L33" s="53"/>
      <c r="M33" s="53"/>
      <c r="N33" s="53"/>
      <c r="O33" s="53"/>
      <c r="P33" s="53"/>
      <c r="Q33" s="53"/>
      <c r="R33" s="53"/>
      <c r="S33" s="52"/>
      <c r="T33" s="52"/>
      <c r="U33" s="52"/>
      <c r="V33" s="52"/>
      <c r="W33" s="52"/>
      <c r="X33" s="52"/>
      <c r="Y33" s="52"/>
      <c r="Z33" s="52"/>
      <c r="AA33" s="52"/>
    </row>
    <row r="34" spans="1:27" x14ac:dyDescent="0.3">
      <c r="A34" s="67" t="s">
        <v>38</v>
      </c>
      <c r="B34" s="8"/>
      <c r="C34" s="58">
        <v>600</v>
      </c>
      <c r="D34" s="36" t="s">
        <v>106</v>
      </c>
      <c r="E34" s="53"/>
      <c r="F34" s="53"/>
      <c r="G34" s="53"/>
      <c r="H34" s="53"/>
      <c r="I34" s="53"/>
      <c r="J34" s="53"/>
      <c r="K34" s="53"/>
      <c r="L34" s="53"/>
      <c r="M34" s="53"/>
      <c r="N34" s="53"/>
      <c r="O34" s="53"/>
      <c r="P34" s="53"/>
      <c r="Q34" s="53"/>
      <c r="R34" s="53"/>
      <c r="S34" s="52"/>
      <c r="T34" s="52"/>
      <c r="U34" s="52"/>
      <c r="V34" s="52"/>
      <c r="W34" s="52"/>
      <c r="X34" s="52"/>
      <c r="Y34" s="52"/>
      <c r="Z34" s="52"/>
      <c r="AA34" s="52"/>
    </row>
    <row r="35" spans="1:27" x14ac:dyDescent="0.3">
      <c r="A35" s="67" t="str">
        <f>IF(AND(B5="Mengteelt", OR(B6="Geen",B6="Malen",B6="Pletten",B6="Toasten",B6="Toasten &amp; malen",B6="Toasten &amp; pletten")),"Opbrengst mengteelt (ton)","Opbrengst veldbonen (ton)")</f>
        <v>Opbrengst veldbonen (ton)</v>
      </c>
      <c r="B35" s="8"/>
      <c r="C35" s="58">
        <v>5</v>
      </c>
      <c r="D35" s="36" t="s">
        <v>115</v>
      </c>
      <c r="E35" s="53"/>
      <c r="F35" s="53"/>
      <c r="G35" s="53"/>
      <c r="H35" s="53"/>
      <c r="I35" s="53"/>
      <c r="J35" s="53"/>
      <c r="K35" s="53"/>
      <c r="L35" s="53"/>
      <c r="M35" s="53"/>
      <c r="N35" s="53"/>
      <c r="O35" s="53"/>
      <c r="P35" s="53"/>
      <c r="Q35" s="53"/>
      <c r="R35" s="53"/>
      <c r="S35" s="52"/>
      <c r="T35" s="52"/>
      <c r="U35" s="52"/>
      <c r="V35" s="52"/>
      <c r="W35" s="52"/>
      <c r="X35" s="52"/>
      <c r="Y35" s="52"/>
      <c r="Z35" s="52"/>
      <c r="AA35" s="52"/>
    </row>
    <row r="36" spans="1:27" x14ac:dyDescent="0.3">
      <c r="A36" s="68" t="str">
        <f>IF(AND(B5="Mengteelt", OR(B6="Geen",B6="Malen",B6="Pletten",B6="Toasten",B6="Toasten &amp; malen",B6="Toasten &amp; pletten")),"Verkoopprijs mengteelt (€/ton)","Verkoopprijs veldbonen (€/ton)")</f>
        <v>Verkoopprijs veldbonen (€/ton)</v>
      </c>
      <c r="B36" s="69"/>
      <c r="C36" s="59">
        <v>330</v>
      </c>
      <c r="D36" s="36" t="s">
        <v>108</v>
      </c>
      <c r="E36" s="53"/>
      <c r="F36" s="53"/>
      <c r="G36" s="53"/>
      <c r="H36" s="53"/>
      <c r="I36" s="53"/>
      <c r="J36" s="53"/>
      <c r="K36" s="53"/>
      <c r="L36" s="53"/>
      <c r="M36" s="53"/>
      <c r="N36" s="53"/>
      <c r="O36" s="53"/>
      <c r="P36" s="53"/>
      <c r="Q36" s="53"/>
      <c r="R36" s="53"/>
      <c r="S36" s="52"/>
      <c r="T36" s="52"/>
      <c r="U36" s="52"/>
      <c r="V36" s="52"/>
      <c r="W36" s="52"/>
      <c r="X36" s="52"/>
      <c r="Y36" s="52"/>
      <c r="Z36" s="52"/>
      <c r="AA36" s="52"/>
    </row>
    <row r="37" spans="1:27" x14ac:dyDescent="0.3">
      <c r="A37" s="47" t="str">
        <f>IF(AND(B5="Mengteelt", OR(B6="Geen",B6="Malen",B6="Pletten",B6="Toasten",B6="Toasten &amp; malen",B6="Toasten &amp; pletten")),"",(IF(B5="Gehele plant silage","",(IF(B5="Reincultuur","","Opbrengst granen (ton)")))))</f>
        <v/>
      </c>
      <c r="B37" s="4"/>
      <c r="C37" s="60">
        <v>3</v>
      </c>
      <c r="D37" s="36"/>
      <c r="E37" s="53"/>
      <c r="F37" s="53"/>
      <c r="G37" s="53"/>
      <c r="H37" s="53"/>
      <c r="I37" s="53"/>
      <c r="J37" s="53"/>
      <c r="K37" s="53"/>
      <c r="L37" s="53"/>
      <c r="M37" s="53"/>
      <c r="N37" s="53"/>
      <c r="O37" s="53"/>
      <c r="P37" s="53"/>
      <c r="Q37" s="53"/>
      <c r="R37" s="53"/>
      <c r="S37" s="52"/>
      <c r="T37" s="52"/>
      <c r="U37" s="52"/>
      <c r="V37" s="52"/>
      <c r="W37" s="52"/>
      <c r="X37" s="52"/>
      <c r="Y37" s="52"/>
      <c r="Z37" s="52"/>
      <c r="AA37" s="52"/>
    </row>
    <row r="38" spans="1:27" x14ac:dyDescent="0.3">
      <c r="A38" s="70" t="str">
        <f>IF(AND(B5="Mengteelt",OR(B6="Geen",B6="Malen",B6="Pletten",B6="Toasten",B6="Toasten &amp; malen",B6="Toasten &amp; pletten")),"",(IF(B5="Gehele plant silage","",(IF(B5="Reincultuur","","Verkoopprijs granen (€/ton)")))))</f>
        <v/>
      </c>
      <c r="C38" s="71">
        <v>240</v>
      </c>
      <c r="D38" s="36"/>
      <c r="E38" s="53"/>
      <c r="F38" s="53"/>
      <c r="G38" s="53"/>
      <c r="H38" s="53"/>
      <c r="I38" s="53"/>
      <c r="J38" s="53"/>
      <c r="K38" s="53"/>
      <c r="L38" s="53"/>
      <c r="M38" s="53"/>
      <c r="N38" s="53"/>
      <c r="O38" s="53"/>
      <c r="P38" s="53"/>
      <c r="Q38" s="53"/>
      <c r="R38" s="53"/>
      <c r="S38" s="52"/>
      <c r="T38" s="52"/>
      <c r="U38" s="52"/>
      <c r="V38" s="52"/>
      <c r="W38" s="52"/>
      <c r="X38" s="52"/>
      <c r="Y38" s="52"/>
      <c r="Z38" s="52"/>
      <c r="AA38" s="52"/>
    </row>
    <row r="39" spans="1:27" x14ac:dyDescent="0.3">
      <c r="A39" s="107" t="str">
        <f>IF(B7="Per ha","Totale opbrengst teelt (€/ha)","Totale opbrengst teelt (€)")</f>
        <v>Totale opbrengst teelt (€/ha)</v>
      </c>
      <c r="B39" s="108"/>
      <c r="C39" s="8">
        <f>IF(A37="",C35*C36,(C35*C36)+(C37*C38))</f>
        <v>1650</v>
      </c>
      <c r="D39" s="36"/>
      <c r="E39" s="53"/>
      <c r="F39" s="53"/>
      <c r="G39" s="53"/>
      <c r="H39" s="53"/>
      <c r="I39" s="53"/>
      <c r="J39" s="53"/>
      <c r="K39" s="53"/>
      <c r="L39" s="53"/>
      <c r="M39" s="53"/>
      <c r="N39" s="53"/>
      <c r="O39" s="53"/>
      <c r="P39" s="53"/>
      <c r="Q39" s="53"/>
      <c r="R39" s="53"/>
      <c r="S39" s="52"/>
      <c r="T39" s="52"/>
      <c r="U39" s="52"/>
      <c r="V39" s="52"/>
      <c r="W39" s="52"/>
      <c r="X39" s="52"/>
      <c r="Y39" s="52"/>
      <c r="Z39" s="52"/>
      <c r="AA39" s="52"/>
    </row>
    <row r="40" spans="1:27" x14ac:dyDescent="0.3">
      <c r="A40" s="121" t="str">
        <f>IF(B7="Over volledig areaal veldbonen","Per ha","")</f>
        <v/>
      </c>
      <c r="B40" s="122"/>
      <c r="C40" t="str">
        <f>IF(B7="Over volledig areaal veldbonen",C39/B8,"")</f>
        <v/>
      </c>
      <c r="D40" s="36"/>
      <c r="E40" s="53"/>
      <c r="F40" s="53"/>
      <c r="G40" s="53"/>
      <c r="H40" s="53"/>
      <c r="I40" s="53"/>
      <c r="J40" s="53"/>
      <c r="K40" s="53"/>
      <c r="L40" s="53"/>
      <c r="M40" s="53"/>
      <c r="N40" s="53"/>
      <c r="O40" s="53"/>
      <c r="P40" s="53"/>
      <c r="Q40" s="53"/>
      <c r="R40" s="53"/>
      <c r="S40" s="52"/>
      <c r="T40" s="52"/>
      <c r="U40" s="52"/>
      <c r="V40" s="52"/>
      <c r="W40" s="52"/>
      <c r="X40" s="52"/>
      <c r="Y40" s="52"/>
      <c r="Z40" s="52"/>
      <c r="AA40" s="52"/>
    </row>
    <row r="41" spans="1:27" x14ac:dyDescent="0.3">
      <c r="A41" s="107" t="str">
        <f>IF(B7="Per ha","Totale winst (€/ha)","Totale winst (€)")</f>
        <v>Totale winst (€/ha)</v>
      </c>
      <c r="B41" s="108"/>
      <c r="C41" s="43">
        <f>C39+C34</f>
        <v>2250</v>
      </c>
      <c r="D41" s="36"/>
      <c r="E41" s="53"/>
      <c r="F41" s="53"/>
      <c r="G41" s="53"/>
      <c r="H41" s="53"/>
      <c r="I41" s="53"/>
      <c r="J41" s="53"/>
      <c r="K41" s="53"/>
      <c r="L41" s="53"/>
      <c r="M41" s="53"/>
      <c r="N41" s="53"/>
      <c r="O41" s="53"/>
      <c r="P41" s="53"/>
      <c r="Q41" s="53"/>
      <c r="R41" s="53"/>
      <c r="S41" s="52"/>
      <c r="T41" s="52"/>
      <c r="U41" s="52"/>
      <c r="V41" s="52"/>
      <c r="W41" s="52"/>
      <c r="X41" s="52"/>
      <c r="Y41" s="52"/>
      <c r="Z41" s="52"/>
      <c r="AA41" s="52"/>
    </row>
    <row r="42" spans="1:27" x14ac:dyDescent="0.3">
      <c r="A42" s="102" t="str">
        <f>IF(B7="Over volledig areaal veldbonen","Per ha","")</f>
        <v/>
      </c>
      <c r="B42" s="103"/>
      <c r="C42" s="24" t="str">
        <f>IF(B7="Over volledig areaal veldbonen",C41/B8,"")</f>
        <v/>
      </c>
      <c r="D42" s="36"/>
      <c r="E42" s="53"/>
      <c r="F42" s="53"/>
      <c r="G42" s="53"/>
      <c r="H42" s="53"/>
      <c r="I42" s="53"/>
      <c r="J42" s="53"/>
      <c r="K42" s="53"/>
      <c r="L42" s="53"/>
      <c r="M42" s="53"/>
      <c r="N42" s="53"/>
      <c r="O42" s="53"/>
      <c r="P42" s="53"/>
      <c r="Q42" s="53"/>
      <c r="R42" s="53"/>
      <c r="S42" s="52"/>
      <c r="T42" s="52"/>
      <c r="U42" s="52"/>
      <c r="V42" s="52"/>
      <c r="W42" s="52"/>
      <c r="X42" s="52"/>
      <c r="Y42" s="52"/>
      <c r="Z42" s="52"/>
      <c r="AA42" s="52"/>
    </row>
    <row r="43" spans="1:27" ht="15" thickBot="1" x14ac:dyDescent="0.35">
      <c r="A43" s="119"/>
      <c r="B43" s="120"/>
      <c r="C43" s="120"/>
      <c r="D43" s="36"/>
      <c r="E43" s="53"/>
      <c r="F43" s="53"/>
      <c r="G43" s="53"/>
      <c r="H43" s="53"/>
      <c r="I43" s="53"/>
      <c r="J43" s="53"/>
      <c r="K43" s="53"/>
      <c r="L43" s="53"/>
      <c r="M43" s="53"/>
      <c r="N43" s="53"/>
      <c r="O43" s="53"/>
      <c r="P43" s="53"/>
      <c r="Q43" s="53"/>
      <c r="R43" s="53"/>
      <c r="S43" s="52"/>
      <c r="T43" s="52"/>
      <c r="U43" s="52"/>
      <c r="V43" s="52"/>
      <c r="W43" s="52"/>
      <c r="X43" s="52"/>
      <c r="Y43" s="52"/>
      <c r="Z43" s="52"/>
      <c r="AA43" s="52"/>
    </row>
    <row r="44" spans="1:27" ht="15" thickBot="1" x14ac:dyDescent="0.35">
      <c r="A44" s="116" t="s">
        <v>15</v>
      </c>
      <c r="B44" s="117"/>
      <c r="C44" s="118"/>
      <c r="D44" s="36"/>
      <c r="E44" s="53"/>
      <c r="F44" s="53"/>
      <c r="G44" s="53"/>
      <c r="H44" s="53"/>
      <c r="I44" s="53"/>
      <c r="J44" s="53"/>
      <c r="K44" s="53"/>
      <c r="L44" s="53"/>
      <c r="M44" s="53"/>
      <c r="N44" s="53"/>
      <c r="O44" s="53"/>
      <c r="P44" s="53"/>
      <c r="Q44" s="53"/>
      <c r="R44" s="53"/>
      <c r="S44" s="52"/>
      <c r="T44" s="52"/>
      <c r="U44" s="52"/>
      <c r="V44" s="52"/>
      <c r="W44" s="52"/>
      <c r="X44" s="52"/>
      <c r="Y44" s="52"/>
      <c r="Z44" s="52"/>
      <c r="AA44" s="52"/>
    </row>
    <row r="45" spans="1:27" x14ac:dyDescent="0.3">
      <c r="A45" s="111" t="s">
        <v>39</v>
      </c>
      <c r="B45" s="112"/>
      <c r="C45" s="72">
        <f>C41-C30</f>
        <v>740</v>
      </c>
      <c r="D45" s="36"/>
      <c r="E45" s="53"/>
      <c r="F45" s="53"/>
      <c r="G45" s="53"/>
      <c r="H45" s="53"/>
      <c r="I45" s="53"/>
      <c r="J45" s="53"/>
      <c r="K45" s="53"/>
      <c r="L45" s="53"/>
      <c r="M45" s="53"/>
      <c r="N45" s="53"/>
      <c r="O45" s="53"/>
      <c r="P45" s="53"/>
      <c r="Q45" s="53"/>
      <c r="R45" s="53"/>
      <c r="S45" s="52"/>
      <c r="T45" s="52"/>
      <c r="U45" s="52"/>
      <c r="V45" s="52"/>
      <c r="W45" s="52"/>
      <c r="X45" s="52"/>
      <c r="Y45" s="52"/>
      <c r="Z45" s="52"/>
      <c r="AA45" s="52"/>
    </row>
    <row r="46" spans="1:27" x14ac:dyDescent="0.3">
      <c r="A46" s="100" t="str">
        <f>IF(B7="Over volledig areaal veldbonen","Per ha","")</f>
        <v/>
      </c>
      <c r="B46" s="101"/>
      <c r="C46" s="6" t="str">
        <f>IF(B7="Over volledig areaal veldbonen",C45/B8,"")</f>
        <v/>
      </c>
      <c r="D46" s="36"/>
      <c r="E46" s="53"/>
      <c r="F46" s="53"/>
      <c r="G46" s="53"/>
      <c r="H46" s="53"/>
      <c r="I46" s="53"/>
      <c r="J46" s="53"/>
      <c r="K46" s="53"/>
      <c r="L46" s="53"/>
      <c r="M46" s="53"/>
      <c r="N46" s="53"/>
      <c r="O46" s="53"/>
      <c r="P46" s="53"/>
      <c r="Q46" s="53"/>
      <c r="R46" s="53"/>
      <c r="S46" s="52"/>
      <c r="T46" s="52"/>
      <c r="U46" s="52"/>
      <c r="V46" s="52"/>
      <c r="W46" s="52"/>
      <c r="X46" s="52"/>
      <c r="Y46" s="52"/>
      <c r="Z46" s="52"/>
      <c r="AA46" s="52"/>
    </row>
    <row r="47" spans="1:27" x14ac:dyDescent="0.3">
      <c r="A47" s="109" t="str">
        <f>IF(OR(B6="Geen",B6="Malen",B6="Pletten",B6="Toasten",B6="Toasten &amp; malen",B6="Toasten &amp; pletten"),"Verkoopprijs voor break-even (€/ton)","Verkoopprijzen voor break-even")</f>
        <v>Verkoopprijs voor break-even (€/ton)</v>
      </c>
      <c r="B47" s="110"/>
      <c r="C47" s="14">
        <f>IF(B5="Gehele plant silage",E47,F47)</f>
        <v>182</v>
      </c>
      <c r="D47" s="36"/>
      <c r="E47" s="53">
        <f>(C30-C34)/C35</f>
        <v>182</v>
      </c>
      <c r="F47" s="53">
        <f>IF(OR(B6="Geen",B6="Malen",B6="Pletten",B6="Toasten",B6="Toasten &amp; malen",B6="Toasten &amp; pletten"),(C30-C34)/C35,"")</f>
        <v>182</v>
      </c>
      <c r="G47" s="53"/>
      <c r="H47" s="53"/>
      <c r="I47" s="53"/>
      <c r="J47" s="53"/>
      <c r="K47" s="53"/>
      <c r="L47" s="53"/>
      <c r="M47" s="53"/>
      <c r="N47" s="53"/>
      <c r="O47" s="53"/>
      <c r="P47" s="53"/>
      <c r="Q47" s="53"/>
      <c r="R47" s="53"/>
      <c r="S47" s="52"/>
      <c r="T47" s="52"/>
      <c r="U47" s="52"/>
      <c r="V47" s="52"/>
      <c r="W47" s="52"/>
      <c r="X47" s="52"/>
      <c r="Y47" s="52"/>
      <c r="Z47" s="52"/>
      <c r="AA47" s="52"/>
    </row>
    <row r="48" spans="1:27" x14ac:dyDescent="0.3">
      <c r="A48" s="61" t="s">
        <v>84</v>
      </c>
      <c r="B48" s="4"/>
      <c r="C48" s="60">
        <v>330</v>
      </c>
      <c r="D48" s="36" t="str">
        <f>IF(OR(B5="Gehele plant silage",A25=""),"","330 €/ton")</f>
        <v/>
      </c>
      <c r="E48" s="53"/>
      <c r="F48" s="53"/>
      <c r="G48" s="53"/>
      <c r="H48" s="53"/>
      <c r="I48" s="53"/>
      <c r="J48" s="53"/>
      <c r="K48" s="53"/>
      <c r="L48" s="53"/>
      <c r="M48" s="53"/>
      <c r="N48" s="53"/>
      <c r="O48" s="53"/>
      <c r="P48" s="53"/>
      <c r="Q48" s="53"/>
      <c r="R48" s="53"/>
      <c r="S48" s="52"/>
      <c r="T48" s="52"/>
      <c r="U48" s="52"/>
      <c r="V48" s="52"/>
      <c r="W48" s="52"/>
      <c r="X48" s="52"/>
      <c r="Y48" s="52"/>
      <c r="Z48" s="52"/>
      <c r="AA48" s="52"/>
    </row>
    <row r="49" spans="1:27" ht="15" thickBot="1" x14ac:dyDescent="0.35">
      <c r="A49" s="27" t="str">
        <f>IF(A48="Verkoopprijs veldbonen (€/ton)","Verkoopprijs granen (€/ton)",(IF(A48="Verkoopprijs granen (€/ton)","Verkoopprijs veldbonen (€/ton)","")))</f>
        <v>Verkoopprijs granen (€/ton)</v>
      </c>
      <c r="B49" s="28"/>
      <c r="C49" s="28">
        <f>IF(A48="Verkoopprijs veldbonen (€/ton)", (C30-C34-(C35*C48))/C37,(C30-C34-(C37*C48))/C35)</f>
        <v>-246.66666666666666</v>
      </c>
      <c r="D49" s="37"/>
      <c r="E49" s="53"/>
      <c r="F49" s="53"/>
      <c r="G49" s="53"/>
      <c r="H49" s="53"/>
      <c r="I49" s="53"/>
      <c r="J49" s="53"/>
      <c r="K49" s="53"/>
      <c r="L49" s="53"/>
      <c r="M49" s="53"/>
      <c r="N49" s="53"/>
      <c r="O49" s="53"/>
      <c r="P49" s="53"/>
      <c r="Q49" s="53"/>
      <c r="R49" s="53"/>
      <c r="S49" s="52"/>
      <c r="T49" s="52"/>
      <c r="U49" s="52"/>
      <c r="V49" s="52"/>
      <c r="W49" s="52"/>
      <c r="X49" s="52"/>
      <c r="Y49" s="52"/>
      <c r="Z49" s="52"/>
      <c r="AA49" s="52"/>
    </row>
    <row r="50" spans="1:27" x14ac:dyDescent="0.3">
      <c r="A50" s="73"/>
      <c r="B50" s="52"/>
      <c r="C50" s="52"/>
      <c r="D50" s="52"/>
      <c r="E50" s="53"/>
      <c r="F50" s="53"/>
      <c r="G50" s="53"/>
      <c r="H50" s="53"/>
      <c r="I50" s="53"/>
      <c r="J50" s="53"/>
      <c r="K50" s="53"/>
      <c r="L50" s="53"/>
      <c r="M50" s="53"/>
      <c r="N50" s="53"/>
      <c r="O50" s="53"/>
      <c r="P50" s="53"/>
      <c r="Q50" s="53"/>
      <c r="R50" s="53"/>
      <c r="S50" s="52"/>
      <c r="T50" s="52"/>
      <c r="U50" s="52"/>
      <c r="V50" s="52"/>
      <c r="W50" s="52"/>
      <c r="X50" s="52"/>
      <c r="Y50" s="52"/>
      <c r="Z50" s="52"/>
      <c r="AA50" s="52"/>
    </row>
    <row r="51" spans="1:27" x14ac:dyDescent="0.3">
      <c r="A51" s="73"/>
      <c r="B51" s="52"/>
      <c r="C51" s="52"/>
      <c r="D51" s="52"/>
      <c r="E51" s="53"/>
      <c r="F51" s="53"/>
      <c r="G51" s="53"/>
      <c r="H51" s="53"/>
      <c r="I51" s="53"/>
      <c r="J51" s="53"/>
      <c r="K51" s="53"/>
      <c r="L51" s="53"/>
      <c r="M51" s="53"/>
      <c r="N51" s="53"/>
      <c r="O51" s="53"/>
      <c r="P51" s="53"/>
      <c r="Q51" s="53"/>
      <c r="R51" s="53"/>
      <c r="S51" s="52"/>
      <c r="T51" s="52"/>
      <c r="U51" s="52"/>
      <c r="V51" s="52"/>
      <c r="W51" s="52"/>
      <c r="X51" s="52"/>
      <c r="Y51" s="52"/>
      <c r="Z51" s="52"/>
      <c r="AA51" s="52"/>
    </row>
    <row r="52" spans="1:27" x14ac:dyDescent="0.3">
      <c r="A52" s="52"/>
      <c r="B52" s="52"/>
      <c r="C52" s="52"/>
      <c r="D52" s="52"/>
      <c r="E52" s="53"/>
      <c r="F52" s="53"/>
      <c r="G52" s="53"/>
      <c r="H52" s="53"/>
      <c r="I52" s="53"/>
      <c r="J52" s="53"/>
      <c r="K52" s="53"/>
      <c r="L52" s="53"/>
      <c r="M52" s="53"/>
      <c r="N52" s="53"/>
      <c r="O52" s="53"/>
      <c r="P52" s="53"/>
      <c r="Q52" s="53"/>
      <c r="R52" s="53"/>
      <c r="S52" s="52"/>
      <c r="T52" s="52"/>
      <c r="U52" s="52"/>
      <c r="V52" s="52"/>
      <c r="W52" s="52"/>
      <c r="X52" s="52"/>
      <c r="Y52" s="52"/>
      <c r="Z52" s="52"/>
      <c r="AA52" s="52"/>
    </row>
    <row r="53" spans="1:27" x14ac:dyDescent="0.3">
      <c r="A53" s="52"/>
      <c r="B53" s="52"/>
      <c r="C53" s="52"/>
      <c r="D53" s="52"/>
      <c r="E53" s="53"/>
      <c r="F53" s="53"/>
      <c r="G53" s="53"/>
      <c r="H53" s="53"/>
      <c r="I53" s="53"/>
      <c r="J53" s="53"/>
      <c r="K53" s="53"/>
      <c r="L53" s="53"/>
      <c r="M53" s="53"/>
      <c r="N53" s="53"/>
      <c r="O53" s="53"/>
      <c r="P53" s="53"/>
      <c r="Q53" s="53"/>
      <c r="R53" s="53"/>
      <c r="S53" s="52"/>
      <c r="T53" s="52"/>
      <c r="U53" s="52"/>
      <c r="V53" s="52"/>
      <c r="W53" s="52"/>
      <c r="X53" s="52"/>
      <c r="Y53" s="52"/>
      <c r="Z53" s="52"/>
      <c r="AA53" s="52"/>
    </row>
    <row r="54" spans="1:27"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row>
    <row r="222" spans="1:27"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row>
    <row r="223" spans="1:27"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row>
    <row r="225" spans="1:27"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row>
    <row r="226" spans="1:27"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row>
    <row r="227" spans="1:27"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row>
    <row r="229" spans="1:27"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row>
    <row r="231" spans="1:27"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row>
    <row r="232" spans="1:27"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row>
    <row r="233" spans="1:27"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row>
    <row r="234" spans="1:27"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row>
    <row r="235" spans="1:27"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row>
    <row r="236" spans="1:27"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row>
    <row r="237" spans="1:27"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row>
    <row r="238" spans="1:27"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row>
    <row r="239" spans="1:27"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row>
    <row r="240" spans="1:27"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row>
    <row r="241" spans="1:27"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row>
    <row r="242" spans="1:27"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row>
    <row r="243" spans="1:27"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row>
    <row r="244" spans="1:27"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row>
    <row r="245" spans="1:27"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row>
    <row r="246" spans="1:27"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row>
    <row r="247" spans="1:27"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row r="248" spans="1:27"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row>
    <row r="249" spans="1:27"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row>
    <row r="250" spans="1:27"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row>
  </sheetData>
  <sheetProtection algorithmName="SHA-512" hashValue="zLTDOuXsw32USjTUaFD4OkdPhWwCW1wsaItm4CmLvT07c1rmFb6T/dPccmoGA2s4Ditx/dEpNIiEaV5JMFYy8Q==" saltValue="28mro05nvkvL4Dax7dm/BA==" spinCount="100000" sheet="1" selectLockedCells="1"/>
  <mergeCells count="27">
    <mergeCell ref="A1:D1"/>
    <mergeCell ref="A3:D3"/>
    <mergeCell ref="A30:B30"/>
    <mergeCell ref="A28:B28"/>
    <mergeCell ref="A20:B20"/>
    <mergeCell ref="A21:B21"/>
    <mergeCell ref="A29:B29"/>
    <mergeCell ref="A12:C12"/>
    <mergeCell ref="A22:C22"/>
    <mergeCell ref="A11:C11"/>
    <mergeCell ref="A2:C2"/>
    <mergeCell ref="A4:C4"/>
    <mergeCell ref="A9:C9"/>
    <mergeCell ref="C5:C8"/>
    <mergeCell ref="A10:C10"/>
    <mergeCell ref="A46:B46"/>
    <mergeCell ref="A31:B31"/>
    <mergeCell ref="A32:C32"/>
    <mergeCell ref="A41:B41"/>
    <mergeCell ref="A47:B47"/>
    <mergeCell ref="A45:B45"/>
    <mergeCell ref="A39:B39"/>
    <mergeCell ref="A33:C33"/>
    <mergeCell ref="A44:C44"/>
    <mergeCell ref="A43:C43"/>
    <mergeCell ref="A42:B42"/>
    <mergeCell ref="A40:B40"/>
  </mergeCells>
  <conditionalFormatting sqref="A8">
    <cfRule type="expression" dxfId="79" priority="12">
      <formula>$B$7="Over volledig areaal veldbonen"</formula>
    </cfRule>
  </conditionalFormatting>
  <conditionalFormatting sqref="A21 C21">
    <cfRule type="expression" dxfId="78" priority="50">
      <formula>$A$21="Per ha"</formula>
    </cfRule>
  </conditionalFormatting>
  <conditionalFormatting sqref="A29 C29">
    <cfRule type="expression" dxfId="77" priority="39">
      <formula>$A$29="Per ha"</formula>
    </cfRule>
  </conditionalFormatting>
  <conditionalFormatting sqref="A31 C31">
    <cfRule type="expression" dxfId="76" priority="37">
      <formula>$A$31="Per ha"</formula>
    </cfRule>
  </conditionalFormatting>
  <conditionalFormatting sqref="A40 C40">
    <cfRule type="expression" dxfId="75" priority="31">
      <formula>$A$40="Per ha"</formula>
    </cfRule>
  </conditionalFormatting>
  <conditionalFormatting sqref="A42 C42">
    <cfRule type="expression" dxfId="74" priority="29">
      <formula>$A$42="Per ha"</formula>
    </cfRule>
  </conditionalFormatting>
  <conditionalFormatting sqref="A46 C46">
    <cfRule type="expression" dxfId="73" priority="27">
      <formula>$A$46="Per ha"</formula>
    </cfRule>
  </conditionalFormatting>
  <conditionalFormatting sqref="A48">
    <cfRule type="expression" dxfId="72" priority="8">
      <formula>$A$37="Opbrengst granen (ton)"</formula>
    </cfRule>
  </conditionalFormatting>
  <conditionalFormatting sqref="A48:A49">
    <cfRule type="expression" dxfId="71" priority="17">
      <formula>$A$47="Verkoopprijs voor break-even (€/ton)"</formula>
    </cfRule>
  </conditionalFormatting>
  <conditionalFormatting sqref="A6:B6">
    <cfRule type="expression" dxfId="70" priority="9">
      <formula>$B$5="Gehele plant silage"</formula>
    </cfRule>
  </conditionalFormatting>
  <conditionalFormatting sqref="A8:B8">
    <cfRule type="expression" dxfId="69" priority="13">
      <formula>$B$7="Per ha"</formula>
    </cfRule>
  </conditionalFormatting>
  <conditionalFormatting sqref="A25:B25">
    <cfRule type="expression" dxfId="68" priority="44">
      <formula>$A$25="Triage (€)"</formula>
    </cfRule>
  </conditionalFormatting>
  <conditionalFormatting sqref="A26:B26">
    <cfRule type="expression" dxfId="67" priority="42">
      <formula>$A$26="Toasten (€)"</formula>
    </cfRule>
  </conditionalFormatting>
  <conditionalFormatting sqref="A27:B27">
    <cfRule type="expression" dxfId="66" priority="40">
      <formula>$A$27="Pletten/malen (€)"</formula>
    </cfRule>
  </conditionalFormatting>
  <conditionalFormatting sqref="A37:B37">
    <cfRule type="expression" dxfId="65" priority="33">
      <formula>$A$37="Opbrengst granen (ton)"</formula>
    </cfRule>
  </conditionalFormatting>
  <conditionalFormatting sqref="A38:B38">
    <cfRule type="expression" dxfId="64" priority="32">
      <formula>$A$38="Verkoopprijs granen (€/ton)"</formula>
    </cfRule>
  </conditionalFormatting>
  <conditionalFormatting sqref="A48:B49">
    <cfRule type="expression" dxfId="63" priority="15">
      <formula>$A$47="Verkoopprijzen voor break-even"</formula>
    </cfRule>
  </conditionalFormatting>
  <conditionalFormatting sqref="A21:C21">
    <cfRule type="expression" dxfId="62" priority="5">
      <formula>$B$7="Per ha"</formula>
    </cfRule>
  </conditionalFormatting>
  <conditionalFormatting sqref="A25:C25">
    <cfRule type="expression" dxfId="61" priority="25">
      <formula>$A$25=""</formula>
    </cfRule>
  </conditionalFormatting>
  <conditionalFormatting sqref="A25:C27">
    <cfRule type="expression" dxfId="60" priority="7">
      <formula>$B$5="Gehele plant silage"</formula>
    </cfRule>
  </conditionalFormatting>
  <conditionalFormatting sqref="A26:C26">
    <cfRule type="expression" dxfId="59" priority="24">
      <formula>$A$26=""</formula>
    </cfRule>
  </conditionalFormatting>
  <conditionalFormatting sqref="A27:C27">
    <cfRule type="expression" dxfId="58" priority="23">
      <formula>$A$27=""</formula>
    </cfRule>
  </conditionalFormatting>
  <conditionalFormatting sqref="A29:C29 A31:C31">
    <cfRule type="expression" dxfId="57" priority="4">
      <formula>$B$7="Per ha"</formula>
    </cfRule>
  </conditionalFormatting>
  <conditionalFormatting sqref="A37:C37">
    <cfRule type="expression" dxfId="56" priority="22">
      <formula>$A$37=""</formula>
    </cfRule>
  </conditionalFormatting>
  <conditionalFormatting sqref="A38:C38">
    <cfRule type="expression" dxfId="55" priority="21">
      <formula>$A$38=""</formula>
    </cfRule>
  </conditionalFormatting>
  <conditionalFormatting sqref="A40:C40 A42:C42">
    <cfRule type="expression" dxfId="54" priority="3">
      <formula>$B$7="Per ha"</formula>
    </cfRule>
  </conditionalFormatting>
  <conditionalFormatting sqref="A48:C49">
    <cfRule type="expression" dxfId="53" priority="2">
      <formula>$A$25=""</formula>
    </cfRule>
    <cfRule type="expression" dxfId="52" priority="1">
      <formula>$B$5="Gehele plant silage"</formula>
    </cfRule>
  </conditionalFormatting>
  <conditionalFormatting sqref="B8">
    <cfRule type="expression" dxfId="51" priority="54">
      <formula>$B$7="Over volledig areaal veldbonen"</formula>
    </cfRule>
  </conditionalFormatting>
  <conditionalFormatting sqref="C25">
    <cfRule type="expression" dxfId="50" priority="48">
      <formula>$A$25="Triage (€)"</formula>
    </cfRule>
  </conditionalFormatting>
  <conditionalFormatting sqref="C26">
    <cfRule type="expression" dxfId="49" priority="47">
      <formula>$A$26="Toasten (€)"</formula>
    </cfRule>
  </conditionalFormatting>
  <conditionalFormatting sqref="C27">
    <cfRule type="expression" dxfId="48" priority="46">
      <formula>$A$27="Pletten/malen (€)"</formula>
    </cfRule>
  </conditionalFormatting>
  <conditionalFormatting sqref="C37">
    <cfRule type="expression" dxfId="47" priority="53">
      <formula>$A$37="Opbrengst granen (ton)"</formula>
    </cfRule>
  </conditionalFormatting>
  <conditionalFormatting sqref="C38">
    <cfRule type="expression" dxfId="46" priority="51">
      <formula>$A$38="Verkoopprijs granen (€/ton)"</formula>
    </cfRule>
    <cfRule type="expression" priority="52">
      <formula>$A$38="Verkoopprijs granen (€/ton)"</formula>
    </cfRule>
  </conditionalFormatting>
  <conditionalFormatting sqref="C48">
    <cfRule type="expression" dxfId="45" priority="20">
      <formula>$A$47="Verkoopprijzen voor break-even"</formula>
    </cfRule>
  </conditionalFormatting>
  <conditionalFormatting sqref="C48:C49">
    <cfRule type="expression" dxfId="44" priority="16">
      <formula>$A$47="Verkoopprijs voor break-even (€/ton)"</formula>
    </cfRule>
  </conditionalFormatting>
  <conditionalFormatting sqref="C49">
    <cfRule type="expression" dxfId="43" priority="14">
      <formula>$A$47="Verkoopprijzen voor break-even"</formula>
    </cfRule>
  </conditionalFormatting>
  <conditionalFormatting sqref="D25:D27">
    <cfRule type="expression" dxfId="42" priority="6">
      <formula>$B$5="Gehele plant silage"</formula>
    </cfRule>
  </conditionalFormatting>
  <dataValidations count="2">
    <dataValidation type="list" allowBlank="1" showInputMessage="1" showErrorMessage="1" sqref="B6" xr:uid="{FB6A3F71-988F-4D10-8932-6414F3F23D8E}">
      <formula1>INDIRECT($B$5)</formula1>
    </dataValidation>
    <dataValidation allowBlank="1" showInputMessage="1" showErrorMessage="1" prompt="Geef voor één van de twee eindproducten een richtprijs. Op basis hiervan wordt voor het andere product een minimale verkoopprijs berekend, waarbij geen verlies meer gemaakt wordt." sqref="C48" xr:uid="{AF7DC1C6-9F4A-47C9-B777-5C2359B21CFC}"/>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Kies &quot;Per ha&quot; als u de kosten en opbrengst kent per ha waarop veldbonen worden geteeld. Of kies &quot;Over volledig areaal&quot; indien u deze enkel kent per perceel, van een nog in te vullen aantal ha." xr:uid="{4732DF22-772C-49A9-AE6B-BCCEA8CD6AAC}">
          <x14:formula1>
            <xm:f>'Tabellen voor keuzelijsten'!$A$2:$A$3</xm:f>
          </x14:formula1>
          <xm:sqref>B7</xm:sqref>
        </x14:dataValidation>
        <x14:dataValidation type="list" allowBlank="1" showInputMessage="1" showErrorMessage="1" xr:uid="{FEAB205B-B3B4-42DF-8EF3-80D704D5F0E5}">
          <x14:formula1>
            <xm:f>'Tabellen voor keuzelijsten'!$C$2:$C$4</xm:f>
          </x14:formula1>
          <xm:sqref>B5</xm:sqref>
        </x14:dataValidation>
        <x14:dataValidation type="list" allowBlank="1" showInputMessage="1" showErrorMessage="1" xr:uid="{1F7E82E6-07F9-4713-A4D4-ED72DDD197E6}">
          <x14:formula1>
            <xm:f>'Tabellen voor keuzelijsten'!$S$2:$S$3</xm:f>
          </x14:formula1>
          <xm:sqref>A48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CE84-976F-4440-9EA2-8DDB37C21B3F}">
  <sheetPr codeName="Blad1"/>
  <dimension ref="A1:AA247"/>
  <sheetViews>
    <sheetView zoomScale="70" zoomScaleNormal="70" workbookViewId="0">
      <selection activeCell="B34" sqref="B34"/>
    </sheetView>
  </sheetViews>
  <sheetFormatPr defaultRowHeight="14.4" x14ac:dyDescent="0.3"/>
  <cols>
    <col min="1" max="1" width="46.6640625" customWidth="1"/>
    <col min="2" max="2" width="21.44140625" customWidth="1"/>
    <col min="3" max="3" width="9.77734375" customWidth="1"/>
    <col min="4" max="4" width="40.33203125" customWidth="1"/>
    <col min="9" max="9" width="10.5546875" bestFit="1" customWidth="1"/>
    <col min="10" max="10" width="10.44140625" bestFit="1" customWidth="1"/>
    <col min="11" max="11" width="10.109375" bestFit="1" customWidth="1"/>
  </cols>
  <sheetData>
    <row r="1" spans="1:27" ht="19.95" customHeight="1" x14ac:dyDescent="0.4">
      <c r="A1" s="123" t="s">
        <v>40</v>
      </c>
      <c r="B1" s="124"/>
      <c r="C1" s="124"/>
      <c r="D1" s="125"/>
      <c r="E1" s="53"/>
      <c r="F1" s="53"/>
      <c r="G1" s="53" t="s">
        <v>87</v>
      </c>
      <c r="H1" s="53" t="s">
        <v>63</v>
      </c>
      <c r="I1" s="53" t="s">
        <v>96</v>
      </c>
      <c r="J1" s="53"/>
      <c r="K1" s="53"/>
      <c r="L1" s="53"/>
      <c r="M1" s="53"/>
      <c r="N1" s="53"/>
      <c r="O1" s="53"/>
      <c r="P1" s="53"/>
      <c r="Q1" s="52"/>
      <c r="R1" s="52"/>
      <c r="S1" s="52"/>
      <c r="T1" s="52"/>
      <c r="U1" s="52"/>
      <c r="V1" s="52"/>
      <c r="W1" s="52"/>
      <c r="X1" s="52"/>
      <c r="Y1" s="52"/>
      <c r="Z1" s="52"/>
      <c r="AA1" s="52"/>
    </row>
    <row r="2" spans="1:27" ht="7.95" customHeight="1" x14ac:dyDescent="0.3">
      <c r="A2" s="152"/>
      <c r="B2" s="153"/>
      <c r="C2" s="153"/>
      <c r="D2" s="154"/>
      <c r="E2" s="53"/>
      <c r="F2" s="53" t="s">
        <v>89</v>
      </c>
      <c r="G2" s="54">
        <f>B11</f>
        <v>330</v>
      </c>
      <c r="H2" s="54"/>
      <c r="I2" s="54"/>
      <c r="J2" s="53"/>
      <c r="K2" s="53"/>
      <c r="L2" s="53"/>
      <c r="M2" s="53"/>
      <c r="N2" s="53"/>
      <c r="O2" s="53"/>
      <c r="P2" s="53"/>
      <c r="Q2" s="52"/>
      <c r="R2" s="52"/>
      <c r="S2" s="52"/>
      <c r="T2" s="52"/>
      <c r="U2" s="52"/>
      <c r="V2" s="52"/>
      <c r="W2" s="52"/>
      <c r="X2" s="52"/>
      <c r="Y2" s="52"/>
      <c r="Z2" s="52"/>
      <c r="AA2" s="52"/>
    </row>
    <row r="3" spans="1:27" ht="45" customHeight="1" x14ac:dyDescent="0.3">
      <c r="A3" s="149" t="s">
        <v>67</v>
      </c>
      <c r="B3" s="150"/>
      <c r="C3" s="150"/>
      <c r="D3" s="151"/>
      <c r="E3" s="53"/>
      <c r="F3" s="53" t="s">
        <v>50</v>
      </c>
      <c r="G3" s="54">
        <f>B12</f>
        <v>14</v>
      </c>
      <c r="H3" s="54"/>
      <c r="I3" s="54"/>
      <c r="J3" s="53"/>
      <c r="K3" s="53"/>
      <c r="L3" s="53"/>
      <c r="M3" s="53"/>
      <c r="N3" s="53"/>
      <c r="O3" s="53"/>
      <c r="P3" s="53"/>
      <c r="Q3" s="52"/>
      <c r="R3" s="52"/>
      <c r="S3" s="52"/>
      <c r="T3" s="52"/>
      <c r="U3" s="52"/>
      <c r="V3" s="52"/>
      <c r="W3" s="52"/>
      <c r="X3" s="52"/>
      <c r="Y3" s="52"/>
      <c r="Z3" s="52"/>
      <c r="AA3" s="52"/>
    </row>
    <row r="4" spans="1:27" ht="7.95" customHeight="1" x14ac:dyDescent="0.3">
      <c r="A4" s="155"/>
      <c r="B4" s="156"/>
      <c r="C4" s="156"/>
      <c r="D4" s="157"/>
      <c r="E4" s="53"/>
      <c r="F4" s="53" t="s">
        <v>90</v>
      </c>
      <c r="G4" s="54" t="str">
        <f>IF(A13="Triage",B13,"")</f>
        <v/>
      </c>
      <c r="H4" s="54"/>
      <c r="I4" s="54"/>
      <c r="J4" s="53"/>
      <c r="K4" s="53"/>
      <c r="L4" s="53"/>
      <c r="M4" s="53"/>
      <c r="N4" s="53"/>
      <c r="O4" s="53"/>
      <c r="P4" s="53"/>
      <c r="Q4" s="52"/>
      <c r="R4" s="52"/>
      <c r="S4" s="52"/>
      <c r="T4" s="52"/>
      <c r="U4" s="52"/>
      <c r="V4" s="52"/>
      <c r="W4" s="52"/>
      <c r="X4" s="52"/>
      <c r="Y4" s="52"/>
      <c r="Z4" s="52"/>
      <c r="AA4" s="52"/>
    </row>
    <row r="5" spans="1:27" x14ac:dyDescent="0.3">
      <c r="A5" s="49" t="s">
        <v>109</v>
      </c>
      <c r="B5" s="74" t="s">
        <v>110</v>
      </c>
      <c r="C5" s="50"/>
      <c r="D5" s="80"/>
      <c r="E5" s="53"/>
      <c r="F5" s="53"/>
      <c r="G5" s="54"/>
      <c r="H5" s="54"/>
      <c r="I5" s="54"/>
      <c r="J5" s="53"/>
      <c r="K5" s="53"/>
      <c r="L5" s="53"/>
      <c r="M5" s="53"/>
      <c r="N5" s="53"/>
      <c r="O5" s="53"/>
      <c r="P5" s="53"/>
      <c r="Q5" s="52"/>
      <c r="R5" s="52"/>
      <c r="S5" s="52"/>
      <c r="T5" s="52"/>
      <c r="U5" s="52"/>
      <c r="V5" s="52"/>
      <c r="W5" s="52"/>
      <c r="X5" s="52"/>
      <c r="Y5" s="52"/>
      <c r="Z5" s="52"/>
      <c r="AA5" s="52"/>
    </row>
    <row r="6" spans="1:27" x14ac:dyDescent="0.3">
      <c r="A6" s="5" t="s">
        <v>44</v>
      </c>
      <c r="B6" s="74" t="s">
        <v>16</v>
      </c>
      <c r="C6" s="11"/>
      <c r="D6" s="80"/>
      <c r="E6" s="53"/>
      <c r="F6" s="53" t="s">
        <v>12</v>
      </c>
      <c r="G6" s="54" t="str">
        <f>IF(A14="Toasten",B14,"")</f>
        <v/>
      </c>
      <c r="H6" s="54"/>
      <c r="I6" s="54"/>
      <c r="J6" s="53"/>
      <c r="K6" s="53"/>
      <c r="L6" s="53"/>
      <c r="M6" s="53"/>
      <c r="N6" s="53"/>
      <c r="O6" s="53"/>
      <c r="P6" s="53"/>
      <c r="Q6" s="52"/>
      <c r="R6" s="52"/>
      <c r="S6" s="52"/>
      <c r="T6" s="52"/>
      <c r="U6" s="52"/>
      <c r="V6" s="52"/>
      <c r="W6" s="52"/>
      <c r="X6" s="52"/>
      <c r="Y6" s="52"/>
      <c r="Z6" s="52"/>
      <c r="AA6" s="52"/>
    </row>
    <row r="7" spans="1:27" x14ac:dyDescent="0.3">
      <c r="A7" s="5" t="s">
        <v>68</v>
      </c>
      <c r="B7" s="74" t="s">
        <v>18</v>
      </c>
      <c r="C7" s="11"/>
      <c r="D7" s="80"/>
      <c r="E7" s="53"/>
      <c r="F7" s="53" t="s">
        <v>91</v>
      </c>
      <c r="G7" s="54">
        <f>IF(A15="Pletten/malen",B15,"")</f>
        <v>15</v>
      </c>
      <c r="H7" s="54"/>
      <c r="I7" s="54"/>
      <c r="J7" s="53"/>
      <c r="K7" s="53"/>
      <c r="L7" s="53"/>
      <c r="M7" s="53"/>
      <c r="N7" s="53"/>
      <c r="O7" s="53"/>
      <c r="P7" s="53"/>
      <c r="Q7" s="52"/>
      <c r="R7" s="52"/>
      <c r="S7" s="52"/>
      <c r="T7" s="52"/>
      <c r="U7" s="52"/>
      <c r="V7" s="52"/>
      <c r="W7" s="52"/>
      <c r="X7" s="52"/>
      <c r="Y7" s="52"/>
      <c r="Z7" s="52"/>
      <c r="AA7" s="52"/>
    </row>
    <row r="8" spans="1:27" x14ac:dyDescent="0.3">
      <c r="A8" s="5" t="s">
        <v>43</v>
      </c>
      <c r="B8" s="74">
        <v>1</v>
      </c>
      <c r="C8" s="11" t="s">
        <v>45</v>
      </c>
      <c r="D8" s="80"/>
      <c r="E8" s="53"/>
      <c r="F8" s="53" t="s">
        <v>59</v>
      </c>
      <c r="G8" s="54"/>
      <c r="H8" s="54">
        <f>B21*(B22*B24)/B8</f>
        <v>223.04364000000001</v>
      </c>
      <c r="I8" s="54"/>
      <c r="J8" s="53"/>
      <c r="K8" s="53"/>
      <c r="L8" s="53"/>
      <c r="M8" s="53"/>
      <c r="N8" s="53"/>
      <c r="O8" s="53"/>
      <c r="P8" s="53"/>
      <c r="Q8" s="52"/>
      <c r="R8" s="52"/>
      <c r="S8" s="52"/>
      <c r="T8" s="52"/>
      <c r="U8" s="52"/>
      <c r="V8" s="52"/>
      <c r="W8" s="52"/>
      <c r="X8" s="52"/>
      <c r="Y8" s="52"/>
      <c r="Z8" s="52"/>
      <c r="AA8" s="52"/>
    </row>
    <row r="9" spans="1:27" ht="7.95" customHeight="1" x14ac:dyDescent="0.3">
      <c r="A9" s="143"/>
      <c r="B9" s="144"/>
      <c r="C9" s="144"/>
      <c r="D9" s="158"/>
      <c r="E9" s="53"/>
      <c r="F9" s="53" t="s">
        <v>61</v>
      </c>
      <c r="G9" s="54"/>
      <c r="H9" s="54">
        <f>B21*(B23*B25)/B8</f>
        <v>85.205190000000002</v>
      </c>
      <c r="I9" s="54"/>
      <c r="J9" s="53"/>
      <c r="K9" s="53"/>
      <c r="L9" s="53"/>
      <c r="M9" s="53"/>
      <c r="N9" s="53"/>
      <c r="O9" s="53"/>
      <c r="P9" s="53"/>
      <c r="Q9" s="52"/>
      <c r="R9" s="52"/>
      <c r="S9" s="52"/>
      <c r="T9" s="52"/>
      <c r="U9" s="52"/>
      <c r="V9" s="52"/>
      <c r="W9" s="52"/>
      <c r="X9" s="52"/>
      <c r="Y9" s="52"/>
      <c r="Z9" s="52"/>
      <c r="AA9" s="52"/>
    </row>
    <row r="10" spans="1:27" x14ac:dyDescent="0.3">
      <c r="A10" s="148" t="s">
        <v>41</v>
      </c>
      <c r="B10" s="164"/>
      <c r="C10" s="164"/>
      <c r="D10" s="34" t="s">
        <v>98</v>
      </c>
      <c r="E10" s="53"/>
      <c r="F10" s="53" t="s">
        <v>97</v>
      </c>
      <c r="G10" s="54"/>
      <c r="H10" s="54"/>
      <c r="I10" s="54">
        <f>SUM(H8:H9)-SUM(G2:G7)</f>
        <v>-50.751170000000002</v>
      </c>
      <c r="J10" s="53"/>
      <c r="K10" s="53"/>
      <c r="L10" s="53"/>
      <c r="M10" s="53"/>
      <c r="N10" s="53"/>
      <c r="O10" s="53"/>
      <c r="P10" s="53"/>
      <c r="Q10" s="52"/>
      <c r="R10" s="52"/>
      <c r="S10" s="52"/>
      <c r="T10" s="52"/>
      <c r="U10" s="52"/>
      <c r="V10" s="52"/>
      <c r="W10" s="52"/>
      <c r="X10" s="52"/>
      <c r="Y10" s="52"/>
      <c r="Z10" s="52"/>
      <c r="AA10" s="52"/>
    </row>
    <row r="11" spans="1:27" x14ac:dyDescent="0.3">
      <c r="A11" s="2" t="s">
        <v>47</v>
      </c>
      <c r="B11" s="74">
        <v>330</v>
      </c>
      <c r="C11" s="74" t="s">
        <v>49</v>
      </c>
      <c r="D11" s="36" t="s">
        <v>107</v>
      </c>
      <c r="E11" s="53">
        <f>IF(C11="€",B11,B11*B8)</f>
        <v>330</v>
      </c>
      <c r="F11" s="53">
        <f>IF(C11="€/ton",B11,B11/B8)</f>
        <v>330</v>
      </c>
      <c r="G11" s="53"/>
      <c r="H11" s="53"/>
      <c r="I11" s="53"/>
      <c r="J11" s="53"/>
      <c r="K11" s="53"/>
      <c r="L11" s="53"/>
      <c r="M11" s="53"/>
      <c r="N11" s="53"/>
      <c r="O11" s="53"/>
      <c r="P11" s="53"/>
      <c r="Q11" s="52"/>
      <c r="R11" s="52"/>
      <c r="S11" s="52"/>
      <c r="T11" s="52"/>
      <c r="U11" s="52"/>
      <c r="V11" s="52"/>
      <c r="W11" s="52"/>
      <c r="X11" s="52"/>
      <c r="Y11" s="52"/>
      <c r="Z11" s="52"/>
      <c r="AA11" s="52"/>
    </row>
    <row r="12" spans="1:27" x14ac:dyDescent="0.3">
      <c r="A12" s="2" t="s">
        <v>50</v>
      </c>
      <c r="B12" s="74">
        <v>14</v>
      </c>
      <c r="C12" s="74" t="s">
        <v>49</v>
      </c>
      <c r="D12" s="36" t="s">
        <v>129</v>
      </c>
      <c r="E12" s="53">
        <f>IF(C12="€",B12,B12*B8)</f>
        <v>14</v>
      </c>
      <c r="F12" s="53">
        <f>IF(C12="€/ton",B12,B12/B8)</f>
        <v>14</v>
      </c>
      <c r="G12" s="53"/>
      <c r="H12" s="53"/>
      <c r="I12" s="53"/>
      <c r="J12" s="53"/>
      <c r="K12" s="53"/>
      <c r="L12" s="53"/>
      <c r="M12" s="53"/>
      <c r="N12" s="53"/>
      <c r="O12" s="53"/>
      <c r="P12" s="53"/>
      <c r="Q12" s="52"/>
      <c r="R12" s="52"/>
      <c r="S12" s="52"/>
      <c r="T12" s="52"/>
      <c r="U12" s="52"/>
      <c r="V12" s="52"/>
      <c r="W12" s="52"/>
      <c r="X12" s="52"/>
      <c r="Y12" s="52"/>
      <c r="Z12" s="52"/>
      <c r="AA12" s="52"/>
    </row>
    <row r="13" spans="1:27" x14ac:dyDescent="0.3">
      <c r="A13" s="2" t="str">
        <f>IF(OR(B7="Geen",B7="Malen",B7="Pletten",B7="Toasten",B7="Toasten &amp; malen",B7="Toasten &amp; pletten"),"","Triage")</f>
        <v/>
      </c>
      <c r="B13" s="74">
        <v>55</v>
      </c>
      <c r="C13" s="74" t="s">
        <v>49</v>
      </c>
      <c r="D13" s="36" t="str">
        <f>IF(A13="","","50 €/ton")</f>
        <v/>
      </c>
      <c r="E13" s="53">
        <f>IF(A13="",0,IF(C13="€",B13,B13*B8))</f>
        <v>0</v>
      </c>
      <c r="F13" s="53">
        <f>IF(A13="",0,IF(C13="€/ton",B13,B13/B8))</f>
        <v>0</v>
      </c>
      <c r="G13" s="53"/>
      <c r="H13" s="53"/>
      <c r="I13" s="53"/>
      <c r="J13" s="53"/>
      <c r="K13" s="53"/>
      <c r="L13" s="53"/>
      <c r="M13" s="53"/>
      <c r="N13" s="53"/>
      <c r="O13" s="53"/>
      <c r="P13" s="53"/>
      <c r="Q13" s="52"/>
      <c r="R13" s="52"/>
      <c r="S13" s="52"/>
      <c r="T13" s="52"/>
      <c r="U13" s="52"/>
      <c r="V13" s="52"/>
      <c r="W13" s="52"/>
      <c r="X13" s="52"/>
      <c r="Y13" s="52"/>
      <c r="Z13" s="52"/>
      <c r="AA13" s="52"/>
    </row>
    <row r="14" spans="1:27" x14ac:dyDescent="0.3">
      <c r="A14" s="2" t="str">
        <f>IF(OR(B7="Geen",B7="Malen",B7="Pletten",B7="Triëren/scheiden",B7="Triëren &amp; malen",B7="Triëren &amp; pletten"),"","Toasten")</f>
        <v/>
      </c>
      <c r="B14" s="74">
        <v>75</v>
      </c>
      <c r="C14" s="74" t="s">
        <v>49</v>
      </c>
      <c r="D14" s="48" t="s">
        <v>102</v>
      </c>
      <c r="E14" s="53">
        <f>IF(A14="",0,IF(C14="€",B14,B14*B8))</f>
        <v>0</v>
      </c>
      <c r="F14" s="53">
        <f>IF(A14="",0,IF(C14="€/ton",B14,B14/B8))</f>
        <v>0</v>
      </c>
      <c r="G14" s="53" t="s">
        <v>69</v>
      </c>
      <c r="H14" s="53"/>
      <c r="I14" s="53"/>
      <c r="J14" s="53"/>
      <c r="K14" s="53"/>
      <c r="L14" s="53"/>
      <c r="M14" s="53"/>
      <c r="N14" s="53"/>
      <c r="O14" s="53"/>
      <c r="P14" s="53"/>
      <c r="Q14" s="52"/>
      <c r="R14" s="52"/>
      <c r="S14" s="52"/>
      <c r="T14" s="52"/>
      <c r="U14" s="52"/>
      <c r="V14" s="52"/>
      <c r="W14" s="52"/>
      <c r="X14" s="52"/>
      <c r="Y14" s="52"/>
      <c r="Z14" s="52"/>
      <c r="AA14" s="52"/>
    </row>
    <row r="15" spans="1:27" x14ac:dyDescent="0.3">
      <c r="A15" s="2" t="str">
        <f>IF(OR(B7="Geen",B7="Toasten",B7="Triëren/scheiden",B7="Toasten &amp; triëren"),"","Pletten/malen")</f>
        <v>Pletten/malen</v>
      </c>
      <c r="B15" s="74">
        <v>15</v>
      </c>
      <c r="C15" s="74" t="s">
        <v>49</v>
      </c>
      <c r="D15" s="36" t="s">
        <v>127</v>
      </c>
      <c r="E15" s="53">
        <f>IF(A15="",0,IF(C15="€",B15,B15*B8))</f>
        <v>15</v>
      </c>
      <c r="F15" s="53">
        <f>IF(A15="",0,IF(C15="€/ton",B15,B15/B8))</f>
        <v>15</v>
      </c>
      <c r="G15" s="53"/>
      <c r="H15" s="53"/>
      <c r="I15" s="53"/>
      <c r="J15" s="53"/>
      <c r="K15" s="53"/>
      <c r="L15" s="53"/>
      <c r="M15" s="53"/>
      <c r="N15" s="53"/>
      <c r="O15" s="53"/>
      <c r="P15" s="53"/>
      <c r="Q15" s="52"/>
      <c r="R15" s="52"/>
      <c r="S15" s="52"/>
      <c r="T15" s="52"/>
      <c r="U15" s="52"/>
      <c r="V15" s="52"/>
      <c r="W15" s="52"/>
      <c r="X15" s="52"/>
      <c r="Y15" s="52"/>
      <c r="Z15" s="52"/>
      <c r="AA15" s="52"/>
    </row>
    <row r="16" spans="1:27" x14ac:dyDescent="0.3">
      <c r="A16" s="12" t="s">
        <v>51</v>
      </c>
      <c r="B16" s="3">
        <f>SUM(E11:E15)</f>
        <v>359</v>
      </c>
      <c r="C16" s="3" t="s">
        <v>48</v>
      </c>
      <c r="D16" s="33"/>
      <c r="E16" s="53"/>
      <c r="F16" s="53"/>
      <c r="G16" s="53"/>
      <c r="H16" s="53"/>
      <c r="I16" s="53"/>
      <c r="J16" s="53"/>
      <c r="K16" s="53"/>
      <c r="L16" s="53"/>
      <c r="M16" s="53"/>
      <c r="N16" s="53"/>
      <c r="O16" s="53"/>
      <c r="P16" s="53"/>
      <c r="Q16" s="52"/>
      <c r="R16" s="52"/>
      <c r="S16" s="52"/>
      <c r="T16" s="52"/>
      <c r="U16" s="52"/>
      <c r="V16" s="52"/>
      <c r="W16" s="52"/>
      <c r="X16" s="52"/>
      <c r="Y16" s="52"/>
      <c r="Z16" s="52"/>
      <c r="AA16" s="52"/>
    </row>
    <row r="17" spans="1:27" x14ac:dyDescent="0.3">
      <c r="A17" s="160">
        <f>SUM(F11:F15)</f>
        <v>359</v>
      </c>
      <c r="B17" s="161"/>
      <c r="C17" s="40" t="s">
        <v>49</v>
      </c>
      <c r="D17" s="33"/>
      <c r="E17" s="53"/>
      <c r="F17" s="53"/>
      <c r="G17" s="53"/>
      <c r="H17" s="53"/>
      <c r="I17" s="53"/>
      <c r="J17" s="53"/>
      <c r="K17" s="53"/>
      <c r="L17" s="53"/>
      <c r="M17" s="53"/>
      <c r="N17" s="53"/>
      <c r="O17" s="53"/>
      <c r="P17" s="53"/>
      <c r="Q17" s="52"/>
      <c r="R17" s="52"/>
      <c r="S17" s="52"/>
      <c r="T17" s="52"/>
      <c r="U17" s="52"/>
      <c r="V17" s="52"/>
      <c r="W17" s="52"/>
      <c r="X17" s="52"/>
      <c r="Y17" s="52"/>
      <c r="Z17" s="52"/>
      <c r="AA17" s="52"/>
    </row>
    <row r="18" spans="1:27" ht="7.95" customHeight="1" x14ac:dyDescent="0.3">
      <c r="A18" s="52"/>
      <c r="B18" s="52"/>
      <c r="C18" s="52"/>
      <c r="D18" s="33"/>
      <c r="E18" s="53"/>
      <c r="F18" s="53"/>
      <c r="G18" s="53"/>
      <c r="H18" s="53"/>
      <c r="I18" s="53"/>
      <c r="J18" s="53"/>
      <c r="K18" s="53"/>
      <c r="L18" s="53"/>
      <c r="M18" s="53"/>
      <c r="N18" s="53"/>
      <c r="O18" s="53"/>
      <c r="P18" s="53"/>
      <c r="Q18" s="52"/>
      <c r="R18" s="52"/>
      <c r="S18" s="52"/>
      <c r="T18" s="52"/>
      <c r="U18" s="52"/>
      <c r="V18" s="52"/>
      <c r="W18" s="52"/>
      <c r="X18" s="52"/>
      <c r="Y18" s="52"/>
      <c r="Z18" s="52"/>
      <c r="AA18" s="52"/>
    </row>
    <row r="19" spans="1:27" x14ac:dyDescent="0.3">
      <c r="A19" s="165" t="s">
        <v>42</v>
      </c>
      <c r="B19" s="166"/>
      <c r="C19" s="166"/>
      <c r="D19" s="42"/>
      <c r="E19" s="53"/>
      <c r="F19" s="53"/>
      <c r="G19" s="53"/>
      <c r="H19" s="53"/>
      <c r="I19" s="53"/>
      <c r="J19" s="53"/>
      <c r="K19" s="53"/>
      <c r="L19" s="53"/>
      <c r="M19" s="53"/>
      <c r="N19" s="53"/>
      <c r="O19" s="53"/>
      <c r="P19" s="53"/>
      <c r="Q19" s="52"/>
      <c r="R19" s="52"/>
      <c r="S19" s="52"/>
      <c r="T19" s="52"/>
      <c r="U19" s="52"/>
      <c r="V19" s="52"/>
      <c r="W19" s="52"/>
      <c r="X19" s="52"/>
      <c r="Y19" s="52"/>
      <c r="Z19" s="52"/>
      <c r="AA19" s="52"/>
    </row>
    <row r="20" spans="1:27" x14ac:dyDescent="0.3">
      <c r="A20" s="75" t="s">
        <v>52</v>
      </c>
      <c r="B20" s="58">
        <v>13</v>
      </c>
      <c r="C20" s="19" t="str">
        <f>IF(A20="Vochtgehalte", "%", "g/kg")</f>
        <v>%</v>
      </c>
      <c r="D20" s="36" t="s">
        <v>128</v>
      </c>
      <c r="E20" s="53"/>
      <c r="F20" s="53"/>
      <c r="G20" s="53"/>
      <c r="H20" s="53"/>
      <c r="I20" s="53"/>
      <c r="J20" s="53"/>
      <c r="K20" s="53"/>
      <c r="L20" s="53"/>
      <c r="M20" s="53"/>
      <c r="N20" s="53"/>
      <c r="O20" s="53"/>
      <c r="P20" s="53"/>
      <c r="Q20" s="52"/>
      <c r="R20" s="52"/>
      <c r="S20" s="52"/>
      <c r="T20" s="52"/>
      <c r="U20" s="52"/>
      <c r="V20" s="52"/>
      <c r="W20" s="52"/>
      <c r="X20" s="52"/>
      <c r="Y20" s="52"/>
      <c r="Z20" s="52"/>
      <c r="AA20" s="52"/>
    </row>
    <row r="21" spans="1:27" x14ac:dyDescent="0.3">
      <c r="A21" s="15" t="s">
        <v>55</v>
      </c>
      <c r="B21" s="16">
        <f>IF(A20="DS",(B20*B8)/1000,B8*(1-(B20/100)))</f>
        <v>0.87</v>
      </c>
      <c r="C21" s="16" t="s">
        <v>45</v>
      </c>
      <c r="D21" s="33"/>
      <c r="E21" s="53"/>
      <c r="F21" s="53"/>
      <c r="G21" s="53"/>
      <c r="H21" s="53"/>
      <c r="I21" s="53"/>
      <c r="J21" s="53"/>
      <c r="K21" s="53"/>
      <c r="L21" s="53"/>
      <c r="M21" s="53"/>
      <c r="N21" s="53"/>
      <c r="O21" s="53"/>
      <c r="P21" s="53"/>
      <c r="Q21" s="52"/>
      <c r="R21" s="52"/>
      <c r="S21" s="52"/>
      <c r="T21" s="52"/>
      <c r="U21" s="52"/>
      <c r="V21" s="52"/>
      <c r="W21" s="52"/>
      <c r="X21" s="52"/>
      <c r="Y21" s="52"/>
      <c r="Z21" s="52"/>
      <c r="AA21" s="52"/>
    </row>
    <row r="22" spans="1:27" x14ac:dyDescent="0.3">
      <c r="A22" s="17" t="str">
        <f>IF(B5="Melkvee","VEM","VEVI")</f>
        <v>VEM</v>
      </c>
      <c r="B22" s="58">
        <v>1198</v>
      </c>
      <c r="C22" s="19" t="s">
        <v>57</v>
      </c>
      <c r="D22" s="36" t="s">
        <v>116</v>
      </c>
      <c r="E22" s="53"/>
      <c r="F22" s="53"/>
      <c r="G22" s="53"/>
      <c r="H22" s="53"/>
      <c r="I22" s="53"/>
      <c r="J22" s="53"/>
      <c r="K22" s="53"/>
      <c r="L22" s="53"/>
      <c r="M22" s="53"/>
      <c r="N22" s="53"/>
      <c r="O22" s="53"/>
      <c r="P22" s="53"/>
      <c r="Q22" s="52"/>
      <c r="R22" s="52"/>
      <c r="S22" s="52"/>
      <c r="T22" s="52"/>
      <c r="U22" s="52"/>
      <c r="V22" s="52"/>
      <c r="W22" s="52"/>
      <c r="X22" s="52"/>
      <c r="Y22" s="52"/>
      <c r="Z22" s="52"/>
      <c r="AA22" s="52"/>
    </row>
    <row r="23" spans="1:27" x14ac:dyDescent="0.3">
      <c r="A23" s="15" t="s">
        <v>58</v>
      </c>
      <c r="B23" s="76">
        <v>119</v>
      </c>
      <c r="C23" s="16" t="s">
        <v>57</v>
      </c>
      <c r="D23" s="36" t="s">
        <v>117</v>
      </c>
      <c r="E23" s="53"/>
      <c r="F23" s="53"/>
      <c r="G23" s="53"/>
      <c r="H23" s="53"/>
      <c r="I23" s="53"/>
      <c r="J23" s="53"/>
      <c r="K23" s="53"/>
      <c r="L23" s="53"/>
      <c r="M23" s="53"/>
      <c r="N23" s="53"/>
      <c r="O23" s="53"/>
      <c r="P23" s="53"/>
      <c r="Q23" s="52"/>
      <c r="R23" s="52"/>
      <c r="S23" s="52"/>
      <c r="T23" s="52"/>
      <c r="U23" s="52"/>
      <c r="V23" s="52"/>
      <c r="W23" s="52"/>
      <c r="X23" s="52"/>
      <c r="Y23" s="52"/>
      <c r="Z23" s="52"/>
      <c r="AA23" s="52"/>
    </row>
    <row r="24" spans="1:27" x14ac:dyDescent="0.3">
      <c r="A24" s="17" t="s">
        <v>59</v>
      </c>
      <c r="B24" s="58">
        <v>0.214</v>
      </c>
      <c r="C24" s="19" t="str">
        <f>IF(B5="Melkvee","€/kVEM","€/kVEVI")</f>
        <v>€/kVEM</v>
      </c>
      <c r="D24" s="36" t="s">
        <v>149</v>
      </c>
      <c r="E24" s="53"/>
      <c r="F24" s="53"/>
      <c r="G24" s="53"/>
      <c r="H24" s="53"/>
      <c r="I24" s="53"/>
      <c r="J24" s="53"/>
      <c r="K24" s="53"/>
      <c r="L24" s="53"/>
      <c r="M24" s="53"/>
      <c r="N24" s="53"/>
      <c r="O24" s="53"/>
      <c r="P24" s="53"/>
      <c r="Q24" s="52"/>
      <c r="R24" s="52"/>
      <c r="S24" s="52"/>
      <c r="T24" s="52"/>
      <c r="U24" s="52"/>
      <c r="V24" s="52"/>
      <c r="W24" s="52"/>
      <c r="X24" s="52"/>
      <c r="Y24" s="52"/>
      <c r="Z24" s="52"/>
      <c r="AA24" s="52"/>
    </row>
    <row r="25" spans="1:27" x14ac:dyDescent="0.3">
      <c r="A25" s="15" t="s">
        <v>61</v>
      </c>
      <c r="B25" s="76">
        <v>0.82299999999999995</v>
      </c>
      <c r="C25" s="16" t="s">
        <v>62</v>
      </c>
      <c r="D25" s="36" t="s">
        <v>150</v>
      </c>
      <c r="E25" s="53"/>
      <c r="F25" s="53"/>
      <c r="G25" s="53"/>
      <c r="H25" s="53"/>
      <c r="I25" s="53"/>
      <c r="J25" s="53"/>
      <c r="K25" s="53"/>
      <c r="L25" s="53"/>
      <c r="M25" s="53"/>
      <c r="N25" s="53"/>
      <c r="O25" s="53"/>
      <c r="P25" s="53"/>
      <c r="Q25" s="52"/>
      <c r="R25" s="52"/>
      <c r="S25" s="52"/>
      <c r="T25" s="52"/>
      <c r="U25" s="52"/>
      <c r="V25" s="52"/>
      <c r="W25" s="52"/>
      <c r="X25" s="52"/>
      <c r="Y25" s="52"/>
      <c r="Z25" s="52"/>
      <c r="AA25" s="52"/>
    </row>
    <row r="26" spans="1:27" x14ac:dyDescent="0.3">
      <c r="A26" s="18" t="s">
        <v>63</v>
      </c>
      <c r="B26" s="19">
        <f>B21*(B22*B24+B23*B25)</f>
        <v>308.24883</v>
      </c>
      <c r="C26" s="19" t="s">
        <v>48</v>
      </c>
      <c r="D26" s="33"/>
      <c r="E26" s="53"/>
      <c r="F26" s="53"/>
      <c r="G26" s="53"/>
      <c r="H26" s="53"/>
      <c r="I26" s="53"/>
      <c r="J26" s="53"/>
      <c r="K26" s="53"/>
      <c r="L26" s="53"/>
      <c r="M26" s="53"/>
      <c r="N26" s="53"/>
      <c r="O26" s="53"/>
      <c r="P26" s="53"/>
      <c r="Q26" s="52"/>
      <c r="R26" s="52"/>
      <c r="S26" s="52"/>
      <c r="T26" s="52"/>
      <c r="U26" s="52"/>
      <c r="V26" s="52"/>
      <c r="W26" s="52"/>
      <c r="X26" s="52"/>
      <c r="Y26" s="52"/>
      <c r="Z26" s="52"/>
      <c r="AA26" s="52"/>
    </row>
    <row r="27" spans="1:27" x14ac:dyDescent="0.3">
      <c r="A27" s="21"/>
      <c r="B27" s="6">
        <f>B26/B8</f>
        <v>308.24883</v>
      </c>
      <c r="C27" s="6" t="s">
        <v>49</v>
      </c>
      <c r="D27" s="33"/>
      <c r="E27" s="53"/>
      <c r="F27" s="53"/>
      <c r="G27" s="53"/>
      <c r="H27" s="53"/>
      <c r="I27" s="53"/>
      <c r="J27" s="53"/>
      <c r="K27" s="53"/>
      <c r="L27" s="53"/>
      <c r="M27" s="53"/>
      <c r="N27" s="53"/>
      <c r="O27" s="53"/>
      <c r="P27" s="53"/>
      <c r="Q27" s="52"/>
      <c r="R27" s="52"/>
      <c r="S27" s="52"/>
      <c r="T27" s="52"/>
      <c r="U27" s="52"/>
      <c r="V27" s="52"/>
      <c r="W27" s="52"/>
      <c r="X27" s="52"/>
      <c r="Y27" s="52"/>
      <c r="Z27" s="52"/>
      <c r="AA27" s="52"/>
    </row>
    <row r="28" spans="1:27" x14ac:dyDescent="0.3">
      <c r="A28" s="20" t="s">
        <v>42</v>
      </c>
      <c r="B28" s="4">
        <f>B26-B16</f>
        <v>-50.751170000000002</v>
      </c>
      <c r="C28" s="4" t="s">
        <v>48</v>
      </c>
      <c r="D28" s="33"/>
      <c r="E28" s="53"/>
      <c r="F28" s="53"/>
      <c r="G28" s="53"/>
      <c r="H28" s="53"/>
      <c r="I28" s="53"/>
      <c r="J28" s="53"/>
      <c r="K28" s="53"/>
      <c r="L28" s="53"/>
      <c r="M28" s="53"/>
      <c r="N28" s="53"/>
      <c r="O28" s="53"/>
      <c r="P28" s="53"/>
      <c r="Q28" s="52"/>
      <c r="R28" s="52"/>
      <c r="S28" s="52"/>
      <c r="T28" s="52"/>
      <c r="U28" s="52"/>
      <c r="V28" s="52"/>
      <c r="W28" s="52"/>
      <c r="X28" s="52"/>
      <c r="Y28" s="52"/>
      <c r="Z28" s="52"/>
      <c r="AA28" s="52"/>
    </row>
    <row r="29" spans="1:27" x14ac:dyDescent="0.3">
      <c r="A29" s="159">
        <f>B27-A17</f>
        <v>-50.751170000000002</v>
      </c>
      <c r="B29" s="122"/>
      <c r="C29" t="s">
        <v>49</v>
      </c>
      <c r="D29" s="33"/>
      <c r="E29" s="53"/>
      <c r="F29" s="53"/>
      <c r="G29" s="53"/>
      <c r="H29" s="53"/>
      <c r="I29" s="53"/>
      <c r="J29" s="53"/>
      <c r="K29" s="53"/>
      <c r="L29" s="53"/>
      <c r="M29" s="53"/>
      <c r="N29" s="53"/>
      <c r="O29" s="53"/>
      <c r="P29" s="53"/>
      <c r="Q29" s="52"/>
      <c r="R29" s="52"/>
      <c r="S29" s="52"/>
      <c r="T29" s="52"/>
      <c r="U29" s="52"/>
      <c r="V29" s="52"/>
      <c r="W29" s="52"/>
      <c r="X29" s="52"/>
      <c r="Y29" s="52"/>
      <c r="Z29" s="52"/>
      <c r="AA29" s="52"/>
    </row>
    <row r="30" spans="1:27" x14ac:dyDescent="0.3">
      <c r="A30" s="29" t="s">
        <v>99</v>
      </c>
      <c r="B30" s="31">
        <f>100*(A17/B27)</f>
        <v>116.46435121911087</v>
      </c>
      <c r="C30" s="16" t="s">
        <v>100</v>
      </c>
      <c r="D30" s="33"/>
      <c r="E30" s="53"/>
      <c r="F30" s="53"/>
      <c r="G30" s="53"/>
      <c r="H30" s="53"/>
      <c r="I30" s="53"/>
      <c r="J30" s="53"/>
      <c r="K30" s="53"/>
      <c r="L30" s="53"/>
      <c r="M30" s="53"/>
      <c r="N30" s="53"/>
      <c r="O30" s="53"/>
      <c r="P30" s="53"/>
      <c r="Q30" s="52"/>
      <c r="R30" s="52"/>
      <c r="S30" s="52"/>
      <c r="T30" s="52"/>
      <c r="U30" s="52"/>
      <c r="V30" s="52"/>
      <c r="W30" s="52"/>
      <c r="X30" s="52"/>
      <c r="Y30" s="52"/>
      <c r="Z30" s="52"/>
      <c r="AA30" s="52"/>
    </row>
    <row r="31" spans="1:27" ht="7.95" customHeight="1" x14ac:dyDescent="0.3">
      <c r="A31" s="52"/>
      <c r="B31" s="52"/>
      <c r="C31" s="52"/>
      <c r="D31" s="33"/>
      <c r="E31" s="53"/>
      <c r="F31" s="53"/>
      <c r="G31" s="53"/>
      <c r="H31" s="53"/>
      <c r="I31" s="53"/>
      <c r="J31" s="53"/>
      <c r="K31" s="53"/>
      <c r="L31" s="53"/>
      <c r="M31" s="53"/>
      <c r="N31" s="53"/>
      <c r="O31" s="53"/>
      <c r="P31" s="53"/>
      <c r="Q31" s="52"/>
      <c r="R31" s="52"/>
      <c r="S31" s="52"/>
      <c r="T31" s="52"/>
      <c r="U31" s="52"/>
      <c r="V31" s="52"/>
      <c r="W31" s="52"/>
      <c r="X31" s="52"/>
      <c r="Y31" s="52"/>
      <c r="Z31" s="52"/>
      <c r="AA31" s="52"/>
    </row>
    <row r="32" spans="1:27" x14ac:dyDescent="0.3">
      <c r="A32" s="162" t="s">
        <v>119</v>
      </c>
      <c r="B32" s="163"/>
      <c r="C32" s="163"/>
      <c r="D32" s="42"/>
      <c r="E32" s="53"/>
      <c r="F32" s="53"/>
      <c r="G32" s="53"/>
      <c r="H32" s="53"/>
      <c r="I32" s="53"/>
      <c r="J32" s="53"/>
      <c r="K32" s="53"/>
      <c r="L32" s="53"/>
      <c r="M32" s="53"/>
      <c r="N32" s="53"/>
      <c r="O32" s="53"/>
      <c r="P32" s="53"/>
      <c r="Q32" s="52"/>
      <c r="R32" s="52"/>
      <c r="S32" s="52"/>
      <c r="T32" s="52"/>
      <c r="U32" s="52"/>
      <c r="V32" s="52"/>
      <c r="W32" s="52"/>
      <c r="X32" s="52"/>
      <c r="Y32" s="52"/>
      <c r="Z32" s="52"/>
      <c r="AA32" s="52"/>
    </row>
    <row r="33" spans="1:27" x14ac:dyDescent="0.3">
      <c r="A33" s="32" t="s">
        <v>123</v>
      </c>
      <c r="B33" s="89"/>
      <c r="C33" s="89"/>
      <c r="D33" s="42"/>
      <c r="E33" s="53" t="s">
        <v>118</v>
      </c>
      <c r="F33" s="53"/>
      <c r="G33" s="53"/>
      <c r="H33" s="53"/>
      <c r="I33" s="53" t="s">
        <v>125</v>
      </c>
      <c r="J33" s="53" t="s">
        <v>126</v>
      </c>
      <c r="K33" s="53" t="s">
        <v>96</v>
      </c>
      <c r="L33" s="53"/>
      <c r="M33" s="53"/>
      <c r="N33" s="53"/>
      <c r="O33" s="53"/>
      <c r="P33" s="53"/>
      <c r="Q33" s="52"/>
      <c r="R33" s="52"/>
      <c r="S33" s="52"/>
      <c r="T33" s="52"/>
      <c r="U33" s="52"/>
      <c r="V33" s="52"/>
      <c r="W33" s="52"/>
      <c r="X33" s="52"/>
      <c r="Y33" s="52"/>
      <c r="Z33" s="52"/>
      <c r="AA33" s="52"/>
    </row>
    <row r="34" spans="1:27" x14ac:dyDescent="0.3">
      <c r="A34" s="90" t="s">
        <v>120</v>
      </c>
      <c r="B34" s="97" t="s">
        <v>143</v>
      </c>
      <c r="C34" s="89"/>
      <c r="D34" s="42"/>
      <c r="E34" s="53" t="str">
        <f>E33&amp; B34</f>
        <v>Kostprijs Krachtvoer</v>
      </c>
      <c r="F34" s="53"/>
      <c r="G34" s="53"/>
      <c r="H34" s="53" t="s">
        <v>89</v>
      </c>
      <c r="I34" s="54">
        <f>B11</f>
        <v>330</v>
      </c>
      <c r="J34" s="54"/>
      <c r="K34" s="54"/>
      <c r="L34" s="53"/>
      <c r="M34" s="53"/>
      <c r="N34" s="53"/>
      <c r="O34" s="53"/>
      <c r="P34" s="53"/>
      <c r="Q34" s="52"/>
      <c r="R34" s="52"/>
      <c r="S34" s="52"/>
      <c r="T34" s="52"/>
      <c r="U34" s="52"/>
      <c r="V34" s="52"/>
      <c r="W34" s="52"/>
      <c r="X34" s="52"/>
      <c r="Y34" s="52"/>
      <c r="Z34" s="52"/>
      <c r="AA34" s="52"/>
    </row>
    <row r="35" spans="1:27" x14ac:dyDescent="0.3">
      <c r="A35" s="90" t="s">
        <v>121</v>
      </c>
      <c r="B35" s="97" t="s">
        <v>144</v>
      </c>
      <c r="C35" s="89"/>
      <c r="D35" s="42"/>
      <c r="E35" s="53" t="str">
        <f>E33&amp; B35</f>
        <v>Kostprijs SKT-mix</v>
      </c>
      <c r="F35" s="53"/>
      <c r="G35" s="53"/>
      <c r="H35" s="53" t="s">
        <v>50</v>
      </c>
      <c r="I35" s="54">
        <f>B12</f>
        <v>14</v>
      </c>
      <c r="J35" s="54"/>
      <c r="K35" s="54"/>
      <c r="L35" s="53"/>
      <c r="M35" s="53"/>
      <c r="N35" s="53"/>
      <c r="O35" s="53"/>
      <c r="P35" s="53"/>
      <c r="Q35" s="52"/>
      <c r="R35" s="52"/>
      <c r="S35" s="52"/>
      <c r="T35" s="52"/>
      <c r="U35" s="52"/>
      <c r="V35" s="52"/>
      <c r="W35" s="52"/>
      <c r="X35" s="52"/>
      <c r="Y35" s="52"/>
      <c r="Z35" s="52"/>
      <c r="AA35" s="52"/>
    </row>
    <row r="36" spans="1:27" x14ac:dyDescent="0.3">
      <c r="A36" s="91" t="s">
        <v>122</v>
      </c>
      <c r="B36" s="98"/>
      <c r="C36" s="92"/>
      <c r="D36" s="42"/>
      <c r="E36" s="53" t="str">
        <f>E33&amp; B36</f>
        <v xml:space="preserve">Kostprijs </v>
      </c>
      <c r="F36" s="53"/>
      <c r="G36" s="53"/>
      <c r="H36" s="53" t="s">
        <v>90</v>
      </c>
      <c r="I36" s="54" t="str">
        <f>IF(A13="Triage",B13,"")</f>
        <v/>
      </c>
      <c r="J36" s="54"/>
      <c r="K36" s="54"/>
      <c r="L36" s="53"/>
      <c r="M36" s="53"/>
      <c r="N36" s="53"/>
      <c r="O36" s="53"/>
      <c r="P36" s="53"/>
      <c r="Q36" s="52"/>
      <c r="R36" s="52"/>
      <c r="S36" s="52"/>
      <c r="T36" s="52"/>
      <c r="U36" s="52"/>
      <c r="V36" s="52"/>
      <c r="W36" s="52"/>
      <c r="X36" s="52"/>
      <c r="Y36" s="52"/>
      <c r="Z36" s="52"/>
      <c r="AA36" s="52"/>
    </row>
    <row r="37" spans="1:27" x14ac:dyDescent="0.3">
      <c r="A37" s="32" t="s">
        <v>124</v>
      </c>
      <c r="B37" s="88"/>
      <c r="C37" s="89"/>
      <c r="D37" s="42"/>
      <c r="E37" s="53"/>
      <c r="F37" s="53"/>
      <c r="G37" s="53"/>
      <c r="H37" s="53"/>
      <c r="I37" s="54"/>
      <c r="J37" s="54"/>
      <c r="K37" s="54"/>
      <c r="L37" s="53"/>
      <c r="M37" s="53"/>
      <c r="N37" s="53"/>
      <c r="O37" s="53"/>
      <c r="P37" s="53"/>
      <c r="Q37" s="52"/>
      <c r="R37" s="52"/>
      <c r="S37" s="52"/>
      <c r="T37" s="52"/>
      <c r="U37" s="52"/>
      <c r="V37" s="52"/>
      <c r="W37" s="52"/>
      <c r="X37" s="52"/>
      <c r="Y37" s="52"/>
      <c r="Z37" s="52"/>
      <c r="AA37" s="52"/>
    </row>
    <row r="38" spans="1:27" x14ac:dyDescent="0.3">
      <c r="A38" s="32" t="str">
        <f>IF(B34="","",B34)</f>
        <v>Krachtvoer</v>
      </c>
      <c r="B38" s="77">
        <v>500</v>
      </c>
      <c r="C38" s="30" t="str">
        <f>IF(B34="","","kg")</f>
        <v>kg</v>
      </c>
      <c r="D38" s="38"/>
      <c r="E38" s="53"/>
      <c r="F38" s="53"/>
      <c r="G38" s="53"/>
      <c r="H38" s="53" t="s">
        <v>12</v>
      </c>
      <c r="I38" s="54" t="str">
        <f>IF(A14="Toasten",B14,"")</f>
        <v/>
      </c>
      <c r="J38" s="54"/>
      <c r="K38" s="54"/>
      <c r="L38" s="53"/>
      <c r="M38" s="53"/>
      <c r="N38" s="53"/>
      <c r="O38" s="53"/>
      <c r="P38" s="53"/>
      <c r="Q38" s="52"/>
      <c r="R38" s="52"/>
      <c r="S38" s="52"/>
      <c r="T38" s="52"/>
      <c r="U38" s="52"/>
      <c r="V38" s="52"/>
      <c r="W38" s="52"/>
      <c r="X38" s="52"/>
      <c r="Y38" s="52"/>
      <c r="Z38" s="52"/>
      <c r="AA38" s="52"/>
    </row>
    <row r="39" spans="1:27" x14ac:dyDescent="0.3">
      <c r="A39" s="32" t="str">
        <f>IF(B35="","",B35)</f>
        <v>SKT-mix</v>
      </c>
      <c r="B39" s="77">
        <v>500</v>
      </c>
      <c r="C39" s="30" t="str">
        <f>IF(B35="","","kg")</f>
        <v>kg</v>
      </c>
      <c r="D39" s="39"/>
      <c r="E39" s="53"/>
      <c r="F39" s="53"/>
      <c r="G39" s="53"/>
      <c r="H39" s="53" t="s">
        <v>91</v>
      </c>
      <c r="I39" s="54">
        <f>IF(A15="Pletten/malen",B15,"")</f>
        <v>15</v>
      </c>
      <c r="J39" s="54"/>
      <c r="K39" s="54"/>
      <c r="L39" s="53"/>
      <c r="M39" s="53"/>
      <c r="N39" s="53"/>
      <c r="O39" s="53"/>
      <c r="P39" s="53"/>
      <c r="Q39" s="52"/>
      <c r="R39" s="52"/>
      <c r="S39" s="52"/>
      <c r="T39" s="52"/>
      <c r="U39" s="52"/>
      <c r="V39" s="52"/>
      <c r="W39" s="52"/>
      <c r="X39" s="52"/>
      <c r="Y39" s="52"/>
      <c r="Z39" s="52"/>
      <c r="AA39" s="52"/>
    </row>
    <row r="40" spans="1:27" x14ac:dyDescent="0.3">
      <c r="A40" s="22" t="str">
        <f>IF(B36="","",B36)</f>
        <v/>
      </c>
      <c r="B40" s="78"/>
      <c r="C40" s="41" t="str">
        <f>IF(B36="","","kg")</f>
        <v/>
      </c>
      <c r="D40" s="39"/>
      <c r="E40" s="53"/>
      <c r="F40" s="53"/>
      <c r="G40" s="53"/>
      <c r="H40" s="53" t="str">
        <f>B34</f>
        <v>Krachtvoer</v>
      </c>
      <c r="I40" s="54"/>
      <c r="J40" s="54">
        <f>(B38/1000)*B41</f>
        <v>200</v>
      </c>
      <c r="K40" s="54"/>
      <c r="L40" s="53"/>
      <c r="M40" s="53"/>
      <c r="N40" s="53"/>
      <c r="O40" s="53"/>
      <c r="P40" s="53"/>
      <c r="Q40" s="52"/>
      <c r="R40" s="52"/>
      <c r="S40" s="52"/>
      <c r="T40" s="52"/>
      <c r="U40" s="52"/>
      <c r="V40" s="52"/>
      <c r="W40" s="52"/>
      <c r="X40" s="52"/>
      <c r="Y40" s="52"/>
      <c r="Z40" s="52"/>
      <c r="AA40" s="52"/>
    </row>
    <row r="41" spans="1:27" x14ac:dyDescent="0.3">
      <c r="A41" s="21" t="str">
        <f>IF(A38="","",E34)</f>
        <v>Kostprijs Krachtvoer</v>
      </c>
      <c r="B41" s="77">
        <v>400</v>
      </c>
      <c r="C41" s="30" t="str">
        <f>IF(B34="","","€/ton")</f>
        <v>€/ton</v>
      </c>
      <c r="D41" s="36" t="s">
        <v>132</v>
      </c>
      <c r="E41" s="53"/>
      <c r="F41" s="53"/>
      <c r="G41" s="53"/>
      <c r="H41" s="53" t="str">
        <f>IF(B35="","",B35)</f>
        <v>SKT-mix</v>
      </c>
      <c r="I41" s="54"/>
      <c r="J41" s="54">
        <f>(B39/1000)*B42</f>
        <v>265</v>
      </c>
      <c r="K41" s="54"/>
      <c r="L41" s="53"/>
      <c r="M41" s="53"/>
      <c r="N41" s="53"/>
      <c r="O41" s="53"/>
      <c r="P41" s="53"/>
      <c r="Q41" s="52"/>
      <c r="R41" s="52"/>
      <c r="S41" s="52"/>
      <c r="T41" s="52"/>
      <c r="U41" s="52"/>
      <c r="V41" s="52"/>
      <c r="W41" s="52"/>
      <c r="X41" s="52"/>
      <c r="Y41" s="52"/>
      <c r="Z41" s="52"/>
      <c r="AA41" s="52"/>
    </row>
    <row r="42" spans="1:27" x14ac:dyDescent="0.3">
      <c r="A42" s="21" t="str">
        <f>IF(A39="","",E35)</f>
        <v>Kostprijs SKT-mix</v>
      </c>
      <c r="B42" s="59">
        <v>530</v>
      </c>
      <c r="C42" s="6" t="str">
        <f>IF(B35="","","€/ton")</f>
        <v>€/ton</v>
      </c>
      <c r="D42" s="36" t="s">
        <v>130</v>
      </c>
      <c r="E42" s="53"/>
      <c r="F42" s="53"/>
      <c r="G42" s="53"/>
      <c r="H42" s="53" t="str">
        <f>IF(B36="","",B36)</f>
        <v/>
      </c>
      <c r="I42" s="54"/>
      <c r="J42" s="54">
        <f>(B40/1000)*B43</f>
        <v>0</v>
      </c>
      <c r="K42" s="54"/>
      <c r="L42" s="53"/>
      <c r="M42" s="53"/>
      <c r="N42" s="53"/>
      <c r="O42" s="53"/>
      <c r="P42" s="53"/>
      <c r="Q42" s="52"/>
      <c r="R42" s="52"/>
      <c r="S42" s="52"/>
      <c r="T42" s="52"/>
      <c r="U42" s="52"/>
      <c r="V42" s="52"/>
      <c r="W42" s="52"/>
      <c r="X42" s="52"/>
      <c r="Y42" s="52"/>
      <c r="Z42" s="52"/>
      <c r="AA42" s="52"/>
    </row>
    <row r="43" spans="1:27" x14ac:dyDescent="0.3">
      <c r="A43" s="21" t="str">
        <f>IF(A40="","",E36)</f>
        <v/>
      </c>
      <c r="B43" s="59"/>
      <c r="C43" s="6" t="str">
        <f>IF(B36="","","€/ton")</f>
        <v/>
      </c>
      <c r="D43" s="36" t="s">
        <v>131</v>
      </c>
      <c r="E43" s="53"/>
      <c r="F43" s="53"/>
      <c r="G43" s="53"/>
      <c r="H43" s="53" t="s">
        <v>97</v>
      </c>
      <c r="I43" s="53"/>
      <c r="J43" s="53"/>
      <c r="K43" s="54">
        <f>SUM(J40:J42)-SUM(I34:I39)</f>
        <v>106</v>
      </c>
      <c r="L43" s="53"/>
      <c r="M43" s="53"/>
      <c r="N43" s="53"/>
      <c r="O43" s="53"/>
      <c r="P43" s="53"/>
      <c r="Q43" s="52"/>
      <c r="R43" s="52"/>
      <c r="S43" s="52"/>
      <c r="T43" s="52"/>
      <c r="U43" s="52"/>
      <c r="V43" s="52"/>
      <c r="W43" s="52"/>
      <c r="X43" s="52"/>
      <c r="Y43" s="52"/>
      <c r="Z43" s="52"/>
      <c r="AA43" s="52"/>
    </row>
    <row r="44" spans="1:27" x14ac:dyDescent="0.3">
      <c r="A44" s="17" t="s">
        <v>101</v>
      </c>
      <c r="B44" s="19">
        <f>((B43*B40/(B40+B39+B38)+B42*B39/(B39+B40+B38)+(B41*B38/(B39+B40+B38))))</f>
        <v>465</v>
      </c>
      <c r="C44" s="19" t="s">
        <v>49</v>
      </c>
      <c r="D44" s="33"/>
      <c r="E44" s="53"/>
      <c r="F44" s="53"/>
      <c r="G44" s="53"/>
      <c r="H44" s="53"/>
      <c r="I44" s="53"/>
      <c r="J44" s="53"/>
      <c r="K44" s="53"/>
      <c r="L44" s="53"/>
      <c r="M44" s="53"/>
      <c r="N44" s="53"/>
      <c r="O44" s="53"/>
      <c r="P44" s="53"/>
      <c r="Q44" s="52"/>
      <c r="R44" s="52"/>
      <c r="S44" s="52"/>
      <c r="T44" s="52"/>
      <c r="U44" s="52"/>
      <c r="V44" s="52"/>
      <c r="W44" s="52"/>
      <c r="X44" s="52"/>
      <c r="Y44" s="52"/>
      <c r="Z44" s="52"/>
      <c r="AA44" s="52"/>
    </row>
    <row r="45" spans="1:27" x14ac:dyDescent="0.3">
      <c r="A45" s="15" t="s">
        <v>65</v>
      </c>
      <c r="B45" s="16">
        <f>((B39/1000)*B42)+((B40/1000)*B43)+((B38/1000)*B41)</f>
        <v>465</v>
      </c>
      <c r="C45" s="16" t="s">
        <v>48</v>
      </c>
      <c r="D45" s="33"/>
      <c r="E45" s="53"/>
      <c r="F45" s="53"/>
      <c r="G45" s="53"/>
      <c r="H45" s="53"/>
      <c r="I45" s="53"/>
      <c r="J45" s="53"/>
      <c r="K45" s="53"/>
      <c r="L45" s="53"/>
      <c r="M45" s="53"/>
      <c r="N45" s="53"/>
      <c r="O45" s="53"/>
      <c r="P45" s="53"/>
      <c r="Q45" s="52"/>
      <c r="R45" s="52"/>
      <c r="S45" s="52"/>
      <c r="T45" s="52"/>
      <c r="U45" s="52"/>
      <c r="V45" s="52"/>
      <c r="W45" s="52"/>
      <c r="X45" s="52"/>
      <c r="Y45" s="52"/>
      <c r="Z45" s="52"/>
      <c r="AA45" s="52"/>
    </row>
    <row r="46" spans="1:27" x14ac:dyDescent="0.3">
      <c r="A46" s="25" t="s">
        <v>64</v>
      </c>
      <c r="B46">
        <f>B45-A17</f>
        <v>106</v>
      </c>
      <c r="C46" t="s">
        <v>49</v>
      </c>
      <c r="D46" s="33"/>
      <c r="E46" s="53"/>
      <c r="F46" s="53"/>
      <c r="G46" s="53"/>
      <c r="H46" s="53"/>
      <c r="I46" s="53"/>
      <c r="J46" s="53"/>
      <c r="K46" s="53"/>
      <c r="L46" s="53"/>
      <c r="M46" s="53"/>
      <c r="N46" s="53"/>
      <c r="O46" s="53"/>
      <c r="P46" s="53"/>
      <c r="Q46" s="52"/>
      <c r="R46" s="52"/>
      <c r="S46" s="52"/>
      <c r="T46" s="52"/>
      <c r="U46" s="52"/>
      <c r="V46" s="52"/>
      <c r="W46" s="52"/>
      <c r="X46" s="52"/>
      <c r="Y46" s="52"/>
      <c r="Z46" s="52"/>
      <c r="AA46" s="52"/>
    </row>
    <row r="47" spans="1:27" x14ac:dyDescent="0.3">
      <c r="A47" s="23" t="s">
        <v>70</v>
      </c>
      <c r="B47" s="24">
        <f>B46*B8</f>
        <v>106</v>
      </c>
      <c r="C47" s="24" t="s">
        <v>48</v>
      </c>
      <c r="D47" s="93"/>
      <c r="E47" s="53"/>
      <c r="F47" s="53"/>
      <c r="G47" s="53"/>
      <c r="H47" s="53"/>
      <c r="I47" s="53"/>
      <c r="J47" s="53"/>
      <c r="K47" s="53"/>
      <c r="L47" s="53"/>
      <c r="M47" s="53"/>
      <c r="N47" s="53"/>
      <c r="O47" s="53"/>
      <c r="P47" s="53"/>
      <c r="Q47" s="52"/>
      <c r="R47" s="52"/>
      <c r="S47" s="52"/>
      <c r="T47" s="52"/>
      <c r="U47" s="52"/>
      <c r="V47" s="52"/>
      <c r="W47" s="52"/>
      <c r="X47" s="52"/>
      <c r="Y47" s="52"/>
      <c r="Z47" s="52"/>
      <c r="AA47" s="52"/>
    </row>
    <row r="48" spans="1:27" x14ac:dyDescent="0.3">
      <c r="A48" s="52"/>
      <c r="B48" s="52"/>
      <c r="C48" s="52"/>
      <c r="D48" s="52"/>
      <c r="E48" s="53"/>
      <c r="F48" s="53"/>
      <c r="G48" s="53"/>
      <c r="H48" s="53"/>
      <c r="I48" s="53"/>
      <c r="J48" s="53"/>
      <c r="K48" s="53"/>
      <c r="L48" s="53"/>
      <c r="M48" s="53"/>
      <c r="N48" s="53"/>
      <c r="O48" s="53"/>
      <c r="P48" s="52"/>
      <c r="Q48" s="52"/>
      <c r="R48" s="52"/>
      <c r="S48" s="52"/>
      <c r="T48" s="52"/>
      <c r="U48" s="52"/>
      <c r="V48" s="52"/>
      <c r="W48" s="52"/>
      <c r="X48" s="52"/>
      <c r="Y48" s="52"/>
      <c r="Z48" s="52"/>
      <c r="AA48" s="52"/>
    </row>
    <row r="49" spans="1:27" x14ac:dyDescent="0.3">
      <c r="A49" s="52"/>
      <c r="B49" s="52"/>
      <c r="C49" s="52"/>
      <c r="D49" s="52"/>
      <c r="E49" s="53"/>
      <c r="F49" s="53"/>
      <c r="G49" s="53"/>
      <c r="H49" s="53"/>
      <c r="I49" s="53"/>
      <c r="J49" s="53"/>
      <c r="K49" s="53"/>
      <c r="L49" s="53"/>
      <c r="M49" s="53"/>
      <c r="N49" s="53"/>
      <c r="O49" s="53"/>
      <c r="P49" s="52"/>
      <c r="Q49" s="52"/>
      <c r="R49" s="52"/>
      <c r="S49" s="52"/>
      <c r="T49" s="52"/>
      <c r="U49" s="52"/>
      <c r="V49" s="52"/>
      <c r="W49" s="52"/>
      <c r="X49" s="52"/>
      <c r="Y49" s="52"/>
      <c r="Z49" s="52"/>
      <c r="AA49" s="52"/>
    </row>
    <row r="50" spans="1:27"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row>
    <row r="222" spans="1:27"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row>
    <row r="223" spans="1:27"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row>
    <row r="225" spans="1:27"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row>
    <row r="226" spans="1:27"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row>
    <row r="227" spans="1:27"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row>
    <row r="229" spans="1:27"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row>
    <row r="231" spans="1:27"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row>
    <row r="232" spans="1:27"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row>
    <row r="233" spans="1:27"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row>
    <row r="234" spans="1:27"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row>
    <row r="235" spans="1:27"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row>
    <row r="236" spans="1:27"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row>
    <row r="237" spans="1:27"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row>
    <row r="238" spans="1:27"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row>
    <row r="239" spans="1:27"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row>
    <row r="240" spans="1:27"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row>
    <row r="241" spans="1:27"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row>
    <row r="242" spans="1:27"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row>
    <row r="243" spans="1:27"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row>
    <row r="244" spans="1:27"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row>
    <row r="245" spans="1:27"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row>
    <row r="246" spans="1:27"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row>
    <row r="247" spans="1:27"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sheetData>
  <sheetProtection algorithmName="SHA-512" hashValue="LYeV7EmAXCUcK7eqfACcJLPtj/2DZvKX2pa9HFUlomg30C6eTyfDJxBrX3l/yCiopfUrCbF6cId9Nj7V9AoZfQ==" saltValue="Ilk42so8qoT+7c2XgrlCqg==" spinCount="100000" sheet="1" selectLockedCells="1"/>
  <mergeCells count="10">
    <mergeCell ref="A29:B29"/>
    <mergeCell ref="A17:B17"/>
    <mergeCell ref="A32:C32"/>
    <mergeCell ref="A10:C10"/>
    <mergeCell ref="A19:C19"/>
    <mergeCell ref="A3:D3"/>
    <mergeCell ref="A1:D1"/>
    <mergeCell ref="A2:D2"/>
    <mergeCell ref="A4:D4"/>
    <mergeCell ref="A9:D9"/>
  </mergeCells>
  <conditionalFormatting sqref="A13">
    <cfRule type="expression" dxfId="41" priority="16">
      <formula>$B$6="Reincultuur"</formula>
    </cfRule>
  </conditionalFormatting>
  <conditionalFormatting sqref="A13:A15">
    <cfRule type="expression" dxfId="40" priority="18">
      <formula>$B$6="Gehele plant silage"</formula>
    </cfRule>
  </conditionalFormatting>
  <conditionalFormatting sqref="A29">
    <cfRule type="expression" dxfId="39" priority="63">
      <formula>$A$29&lt;0</formula>
    </cfRule>
    <cfRule type="expression" dxfId="38" priority="62">
      <formula>$A$29&gt;0</formula>
    </cfRule>
    <cfRule type="cellIs" dxfId="37" priority="53" operator="greaterThan">
      <formula>0</formula>
    </cfRule>
    <cfRule type="cellIs" dxfId="36" priority="52" operator="lessThan">
      <formula>0</formula>
    </cfRule>
  </conditionalFormatting>
  <conditionalFormatting sqref="A28:C28">
    <cfRule type="expression" dxfId="35" priority="37">
      <formula>$B$28&gt;0</formula>
    </cfRule>
    <cfRule type="expression" dxfId="34" priority="38">
      <formula>$B$28&lt;0</formula>
    </cfRule>
  </conditionalFormatting>
  <conditionalFormatting sqref="A29:C29">
    <cfRule type="expression" dxfId="33" priority="32">
      <formula>$A$29&lt;0</formula>
    </cfRule>
    <cfRule type="expression" dxfId="32" priority="31">
      <formula>$A$29&gt;0</formula>
    </cfRule>
  </conditionalFormatting>
  <conditionalFormatting sqref="A30:C30">
    <cfRule type="expression" dxfId="31" priority="5">
      <formula>$B$30&lt;100</formula>
    </cfRule>
    <cfRule type="expression" dxfId="30" priority="19">
      <formula>$B$30&gt;100</formula>
    </cfRule>
  </conditionalFormatting>
  <conditionalFormatting sqref="A46:C46">
    <cfRule type="expression" dxfId="29" priority="65">
      <formula>#REF!&lt;0</formula>
    </cfRule>
    <cfRule type="expression" dxfId="28" priority="64">
      <formula>#REF!&gt;0</formula>
    </cfRule>
  </conditionalFormatting>
  <conditionalFormatting sqref="A46:C47">
    <cfRule type="expression" dxfId="27" priority="24">
      <formula>$B$46&lt;0</formula>
    </cfRule>
    <cfRule type="expression" dxfId="26" priority="23">
      <formula>$B$46&gt;0</formula>
    </cfRule>
  </conditionalFormatting>
  <conditionalFormatting sqref="B28">
    <cfRule type="cellIs" dxfId="25" priority="54" operator="lessThan">
      <formula>0</formula>
    </cfRule>
    <cfRule type="cellIs" dxfId="24" priority="55" operator="greaterThan">
      <formula>0</formula>
    </cfRule>
  </conditionalFormatting>
  <conditionalFormatting sqref="B39">
    <cfRule type="expression" dxfId="23" priority="4">
      <formula>$B$35=""</formula>
    </cfRule>
  </conditionalFormatting>
  <conditionalFormatting sqref="B40">
    <cfRule type="expression" dxfId="22" priority="3">
      <formula>$B$36=""</formula>
    </cfRule>
  </conditionalFormatting>
  <conditionalFormatting sqref="B42">
    <cfRule type="expression" dxfId="21" priority="2">
      <formula>$B$35=""</formula>
    </cfRule>
  </conditionalFormatting>
  <conditionalFormatting sqref="B43">
    <cfRule type="expression" dxfId="20" priority="1">
      <formula>$B$36=""</formula>
    </cfRule>
  </conditionalFormatting>
  <conditionalFormatting sqref="B46">
    <cfRule type="cellIs" dxfId="19" priority="29" operator="lessThan">
      <formula>0</formula>
    </cfRule>
    <cfRule type="cellIs" dxfId="18" priority="30" operator="greaterThan">
      <formula>0</formula>
    </cfRule>
  </conditionalFormatting>
  <conditionalFormatting sqref="B13:C13">
    <cfRule type="expression" dxfId="17" priority="22">
      <formula>$A$13=""</formula>
    </cfRule>
    <cfRule type="expression" dxfId="16" priority="15">
      <formula>$B$6="Reincultuur"</formula>
    </cfRule>
  </conditionalFormatting>
  <conditionalFormatting sqref="B13:C15">
    <cfRule type="expression" dxfId="15" priority="17">
      <formula>$B$6="Gehele plant silage"</formula>
    </cfRule>
  </conditionalFormatting>
  <conditionalFormatting sqref="B14:D14">
    <cfRule type="expression" dxfId="14" priority="20">
      <formula>$A$14=""</formula>
    </cfRule>
  </conditionalFormatting>
  <conditionalFormatting sqref="B15:D15">
    <cfRule type="expression" dxfId="13" priority="21">
      <formula>$A$15=""</formula>
    </cfRule>
  </conditionalFormatting>
  <conditionalFormatting sqref="C28">
    <cfRule type="cellIs" dxfId="12" priority="45" operator="greaterThan">
      <formula>$B$28&lt;0</formula>
    </cfRule>
    <cfRule type="cellIs" dxfId="11" priority="46" operator="lessThan">
      <formula>$B$28&lt;0</formula>
    </cfRule>
    <cfRule type="cellIs" dxfId="10" priority="47" operator="greaterThan">
      <formula>$B$28&gt;0</formula>
    </cfRule>
  </conditionalFormatting>
  <conditionalFormatting sqref="D13">
    <cfRule type="expression" dxfId="9" priority="13">
      <formula>$B$6="Reincultuur"</formula>
    </cfRule>
  </conditionalFormatting>
  <conditionalFormatting sqref="D13:D15">
    <cfRule type="expression" dxfId="8" priority="14">
      <formula>$B$6="Gehele plant silage"</formula>
    </cfRule>
  </conditionalFormatting>
  <conditionalFormatting sqref="D14">
    <cfRule type="expression" dxfId="7" priority="12">
      <formula>$A$14=""</formula>
    </cfRule>
  </conditionalFormatting>
  <conditionalFormatting sqref="D15">
    <cfRule type="expression" dxfId="6" priority="11">
      <formula>$A$15=""</formula>
    </cfRule>
  </conditionalFormatting>
  <dataValidations count="1">
    <dataValidation type="list" allowBlank="1" showInputMessage="1" showErrorMessage="1" sqref="B7" xr:uid="{254BE062-EA9A-4317-A5F3-9F394F00A05E}">
      <formula1>INDIRECT($B$6)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B26C36C-2A3D-4F85-AA6D-BFA37429293D}">
          <x14:formula1>
            <xm:f>'Tabellen voor keuzelijsten'!$C$2:$C$4</xm:f>
          </x14:formula1>
          <xm:sqref>B6</xm:sqref>
        </x14:dataValidation>
        <x14:dataValidation type="list" allowBlank="1" showInputMessage="1" showErrorMessage="1" xr:uid="{02EBAF05-48D6-43A8-BEE0-37A03DE4D4B7}">
          <x14:formula1>
            <xm:f>'Tabellen voor keuzelijsten'!$M$2:$M$3</xm:f>
          </x14:formula1>
          <xm:sqref>C11:C15</xm:sqref>
        </x14:dataValidation>
        <x14:dataValidation type="list" allowBlank="1" showInputMessage="1" showErrorMessage="1" xr:uid="{8A532A94-85D7-45A4-8FF5-2FECD090B44C}">
          <x14:formula1>
            <xm:f>'Tabellen voor keuzelijsten'!$O$2:$O$3</xm:f>
          </x14:formula1>
          <xm:sqref>A20</xm:sqref>
        </x14:dataValidation>
        <x14:dataValidation type="list" allowBlank="1" showInputMessage="1" showErrorMessage="1" xr:uid="{71581F65-A737-43FB-A27B-9E6009E200D9}">
          <x14:formula1>
            <xm:f>'Tabellen voor keuzelijsten'!$U$2:$U$3</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6E1E7-CE02-4363-95D2-2381A12F6B9E}">
  <dimension ref="A1:AA250"/>
  <sheetViews>
    <sheetView zoomScale="70" zoomScaleNormal="70" workbookViewId="0">
      <selection activeCell="B19" sqref="B19"/>
    </sheetView>
  </sheetViews>
  <sheetFormatPr defaultRowHeight="14.4" x14ac:dyDescent="0.3"/>
  <cols>
    <col min="1" max="1" width="34.33203125" customWidth="1"/>
    <col min="2" max="2" width="15.6640625" customWidth="1"/>
    <col min="3" max="3" width="22" customWidth="1"/>
    <col min="4" max="4" width="35.6640625" customWidth="1"/>
    <col min="5" max="13" width="12.33203125" customWidth="1"/>
  </cols>
  <sheetData>
    <row r="1" spans="1:27" ht="19.8" x14ac:dyDescent="0.4">
      <c r="A1" s="167" t="s">
        <v>114</v>
      </c>
      <c r="B1" s="168"/>
      <c r="C1" s="168"/>
      <c r="D1" s="169"/>
      <c r="E1" s="53"/>
      <c r="F1" s="53" t="s">
        <v>59</v>
      </c>
      <c r="G1" s="53" t="s">
        <v>61</v>
      </c>
      <c r="H1" s="53" t="s">
        <v>113</v>
      </c>
      <c r="I1" s="53" t="s">
        <v>112</v>
      </c>
      <c r="J1" s="53" t="s">
        <v>94</v>
      </c>
      <c r="K1" s="94"/>
      <c r="L1" s="53"/>
      <c r="M1" s="53"/>
      <c r="N1" s="53"/>
      <c r="O1" s="53"/>
      <c r="P1" s="53"/>
      <c r="Q1" s="53"/>
      <c r="R1" s="53"/>
      <c r="S1" s="52"/>
      <c r="T1" s="52"/>
      <c r="U1" s="52"/>
      <c r="V1" s="52"/>
      <c r="W1" s="52"/>
      <c r="X1" s="52"/>
      <c r="Y1" s="52"/>
      <c r="Z1" s="52"/>
      <c r="AA1" s="52"/>
    </row>
    <row r="2" spans="1:27" x14ac:dyDescent="0.3">
      <c r="A2" s="177"/>
      <c r="B2" s="178"/>
      <c r="C2" s="178"/>
      <c r="D2" s="84"/>
      <c r="E2" s="53" t="s">
        <v>93</v>
      </c>
      <c r="F2" s="54">
        <f>B8*(B9*B11)/B6</f>
        <v>205.38863999999998</v>
      </c>
      <c r="G2" s="54">
        <f>B8*(B10*B12)/B6</f>
        <v>78.563579999999988</v>
      </c>
      <c r="H2" s="54"/>
      <c r="I2" s="54"/>
      <c r="J2" s="54"/>
      <c r="K2" s="94"/>
      <c r="L2" s="53"/>
      <c r="M2" s="53"/>
      <c r="N2" s="53"/>
      <c r="O2" s="53"/>
      <c r="P2" s="53"/>
      <c r="Q2" s="53"/>
      <c r="R2" s="53"/>
      <c r="S2" s="52"/>
      <c r="T2" s="52"/>
      <c r="U2" s="52"/>
      <c r="V2" s="52"/>
      <c r="W2" s="52"/>
      <c r="X2" s="52"/>
      <c r="Y2" s="52"/>
      <c r="Z2" s="52"/>
      <c r="AA2" s="52"/>
    </row>
    <row r="3" spans="1:27" x14ac:dyDescent="0.3">
      <c r="A3" s="170" t="s">
        <v>66</v>
      </c>
      <c r="B3" s="171"/>
      <c r="C3" s="171"/>
      <c r="D3" s="172"/>
      <c r="E3" s="53" t="s">
        <v>75</v>
      </c>
      <c r="F3" s="54">
        <f>B8*(B18*B11)/B6</f>
        <v>205.38863999999998</v>
      </c>
      <c r="G3" s="54">
        <f>B8*(B19*B12)/B6</f>
        <v>108.99811999999999</v>
      </c>
      <c r="H3" s="54">
        <f>IF(C29="€/ton VS",-B29,-(B29/B6))</f>
        <v>-75</v>
      </c>
      <c r="I3" s="54">
        <f>IF(C30="€/ton VS",-B30,-(B30/B6))</f>
        <v>-5</v>
      </c>
      <c r="J3" s="54"/>
      <c r="K3" s="94"/>
      <c r="L3" s="53"/>
      <c r="M3" s="53"/>
      <c r="N3" s="53"/>
      <c r="O3" s="53"/>
      <c r="P3" s="53"/>
      <c r="Q3" s="53"/>
      <c r="R3" s="53"/>
      <c r="S3" s="52"/>
      <c r="T3" s="52"/>
      <c r="U3" s="52"/>
      <c r="V3" s="52"/>
      <c r="W3" s="52"/>
      <c r="X3" s="52"/>
      <c r="Y3" s="52"/>
      <c r="Z3" s="52"/>
      <c r="AA3" s="52"/>
    </row>
    <row r="4" spans="1:27" x14ac:dyDescent="0.3">
      <c r="A4" s="177"/>
      <c r="B4" s="178"/>
      <c r="C4" s="178"/>
      <c r="D4" s="84"/>
      <c r="E4" s="53" t="s">
        <v>94</v>
      </c>
      <c r="F4" s="54"/>
      <c r="G4" s="54"/>
      <c r="H4" s="54"/>
      <c r="I4" s="54"/>
      <c r="J4" s="54">
        <f>SUM(F3:H3)-SUM(F2:G2)</f>
        <v>-44.565459999999973</v>
      </c>
      <c r="K4" s="94"/>
      <c r="L4" s="53"/>
      <c r="M4" s="53"/>
      <c r="N4" s="53"/>
      <c r="O4" s="53"/>
      <c r="P4" s="53"/>
      <c r="Q4" s="53"/>
      <c r="R4" s="53"/>
      <c r="S4" s="52"/>
      <c r="T4" s="52"/>
      <c r="U4" s="52"/>
      <c r="V4" s="52"/>
      <c r="W4" s="52"/>
      <c r="X4" s="52"/>
      <c r="Y4" s="52"/>
      <c r="Z4" s="52"/>
      <c r="AA4" s="52"/>
    </row>
    <row r="5" spans="1:27" x14ac:dyDescent="0.3">
      <c r="A5" s="162" t="s">
        <v>72</v>
      </c>
      <c r="B5" s="163"/>
      <c r="C5" s="163"/>
      <c r="D5" s="44" t="s">
        <v>98</v>
      </c>
      <c r="E5" s="53"/>
      <c r="F5" s="54"/>
      <c r="G5" s="54"/>
      <c r="H5" s="54"/>
      <c r="I5" s="54"/>
      <c r="J5" s="53"/>
      <c r="K5" s="94"/>
      <c r="L5" s="53"/>
      <c r="M5" s="53"/>
      <c r="N5" s="53"/>
      <c r="O5" s="53"/>
      <c r="P5" s="53"/>
      <c r="Q5" s="53"/>
      <c r="R5" s="53"/>
      <c r="S5" s="52"/>
      <c r="T5" s="52"/>
      <c r="U5" s="52"/>
      <c r="V5" s="52"/>
      <c r="W5" s="52"/>
      <c r="X5" s="52"/>
      <c r="Y5" s="52"/>
      <c r="Z5" s="52"/>
      <c r="AA5" s="52"/>
    </row>
    <row r="6" spans="1:27" x14ac:dyDescent="0.3">
      <c r="A6" s="13" t="s">
        <v>71</v>
      </c>
      <c r="B6" s="74">
        <v>1</v>
      </c>
      <c r="C6" s="14" t="s">
        <v>45</v>
      </c>
      <c r="D6" s="35"/>
      <c r="E6" s="53"/>
      <c r="F6" s="53"/>
      <c r="G6" s="53"/>
      <c r="H6" s="53"/>
      <c r="I6" s="53"/>
      <c r="J6" s="53"/>
      <c r="K6" s="53"/>
      <c r="L6" s="53"/>
      <c r="M6" s="53"/>
      <c r="N6" s="53"/>
      <c r="O6" s="53"/>
      <c r="P6" s="53"/>
      <c r="Q6" s="53"/>
      <c r="R6" s="53"/>
      <c r="S6" s="52"/>
      <c r="T6" s="52"/>
      <c r="U6" s="52"/>
      <c r="V6" s="52"/>
      <c r="W6" s="52"/>
      <c r="X6" s="52"/>
      <c r="Y6" s="52"/>
      <c r="Z6" s="52"/>
      <c r="AA6" s="52"/>
    </row>
    <row r="7" spans="1:27" x14ac:dyDescent="0.3">
      <c r="A7" s="75" t="s">
        <v>52</v>
      </c>
      <c r="B7" s="58">
        <v>14</v>
      </c>
      <c r="C7" s="19" t="str">
        <f>IF(A7="Vochtgehalte", "%", "g/kg")</f>
        <v>%</v>
      </c>
      <c r="D7" s="36" t="s">
        <v>128</v>
      </c>
      <c r="E7" s="53"/>
      <c r="F7" s="53"/>
      <c r="G7" s="53"/>
      <c r="H7" s="53"/>
      <c r="I7" s="53"/>
      <c r="J7" s="53"/>
      <c r="K7" s="53"/>
      <c r="L7" s="53"/>
      <c r="M7" s="53"/>
      <c r="N7" s="53"/>
      <c r="O7" s="53"/>
      <c r="P7" s="53"/>
      <c r="Q7" s="53"/>
      <c r="R7" s="53"/>
      <c r="S7" s="52"/>
      <c r="T7" s="52"/>
      <c r="U7" s="52"/>
      <c r="V7" s="52"/>
      <c r="W7" s="52"/>
      <c r="X7" s="52"/>
      <c r="Y7" s="52"/>
      <c r="Z7" s="52"/>
      <c r="AA7" s="52"/>
    </row>
    <row r="8" spans="1:27" x14ac:dyDescent="0.3">
      <c r="A8" s="15" t="s">
        <v>55</v>
      </c>
      <c r="B8" s="16">
        <f>IF(A7="DS",(B7*B6)/1000,B6*(1-(B7/100)))</f>
        <v>0.86</v>
      </c>
      <c r="C8" s="16" t="s">
        <v>45</v>
      </c>
      <c r="D8" s="36"/>
      <c r="E8" s="53"/>
      <c r="F8" s="53"/>
      <c r="G8" s="53"/>
      <c r="H8" s="53"/>
      <c r="I8" s="53"/>
      <c r="J8" s="53"/>
      <c r="K8" s="53"/>
      <c r="L8" s="53"/>
      <c r="M8" s="53"/>
      <c r="N8" s="53"/>
      <c r="O8" s="53"/>
      <c r="P8" s="53"/>
      <c r="Q8" s="53"/>
      <c r="R8" s="53"/>
      <c r="S8" s="52"/>
      <c r="T8" s="52"/>
      <c r="U8" s="52"/>
      <c r="V8" s="52"/>
      <c r="W8" s="52"/>
      <c r="X8" s="52"/>
      <c r="Y8" s="52"/>
      <c r="Z8" s="52"/>
      <c r="AA8" s="52"/>
    </row>
    <row r="9" spans="1:27" x14ac:dyDescent="0.3">
      <c r="A9" s="17" t="s">
        <v>56</v>
      </c>
      <c r="B9" s="58">
        <v>1116</v>
      </c>
      <c r="C9" s="19" t="s">
        <v>57</v>
      </c>
      <c r="D9" s="36" t="s">
        <v>116</v>
      </c>
      <c r="E9" s="55"/>
      <c r="F9" s="53"/>
      <c r="G9" s="55"/>
      <c r="H9" s="53"/>
      <c r="I9" s="53"/>
      <c r="J9" s="53"/>
      <c r="K9" s="53"/>
      <c r="L9" s="53"/>
      <c r="M9" s="53"/>
      <c r="N9" s="53"/>
      <c r="O9" s="53"/>
      <c r="P9" s="53"/>
      <c r="Q9" s="53"/>
      <c r="R9" s="53"/>
      <c r="S9" s="52"/>
      <c r="T9" s="52"/>
      <c r="U9" s="52"/>
      <c r="V9" s="52"/>
      <c r="W9" s="52"/>
      <c r="X9" s="52"/>
      <c r="Y9" s="52"/>
      <c r="Z9" s="52"/>
      <c r="AA9" s="52"/>
    </row>
    <row r="10" spans="1:27" x14ac:dyDescent="0.3">
      <c r="A10" s="15" t="s">
        <v>58</v>
      </c>
      <c r="B10" s="76">
        <v>111</v>
      </c>
      <c r="C10" s="16" t="s">
        <v>57</v>
      </c>
      <c r="D10" s="36" t="s">
        <v>117</v>
      </c>
      <c r="E10" s="55"/>
      <c r="F10" s="53"/>
      <c r="G10" s="53"/>
      <c r="H10" s="55"/>
      <c r="I10" s="55"/>
      <c r="J10" s="53"/>
      <c r="K10" s="53"/>
      <c r="L10" s="53"/>
      <c r="M10" s="53"/>
      <c r="N10" s="53"/>
      <c r="O10" s="53"/>
      <c r="P10" s="53"/>
      <c r="Q10" s="53"/>
      <c r="R10" s="53"/>
      <c r="S10" s="52"/>
      <c r="T10" s="52"/>
      <c r="U10" s="52"/>
      <c r="V10" s="52"/>
      <c r="W10" s="52"/>
      <c r="X10" s="52"/>
      <c r="Y10" s="52"/>
      <c r="Z10" s="52"/>
      <c r="AA10" s="52"/>
    </row>
    <row r="11" spans="1:27" x14ac:dyDescent="0.3">
      <c r="A11" s="17" t="s">
        <v>59</v>
      </c>
      <c r="B11" s="58">
        <v>0.214</v>
      </c>
      <c r="C11" s="19" t="s">
        <v>60</v>
      </c>
      <c r="D11" s="36" t="s">
        <v>149</v>
      </c>
      <c r="E11" s="55"/>
      <c r="F11" s="53"/>
      <c r="G11" s="53"/>
      <c r="H11" s="55"/>
      <c r="I11" s="55"/>
      <c r="J11" s="53"/>
      <c r="K11" s="53"/>
      <c r="L11" s="53"/>
      <c r="M11" s="53"/>
      <c r="N11" s="53"/>
      <c r="O11" s="53"/>
      <c r="P11" s="53"/>
      <c r="Q11" s="53"/>
      <c r="R11" s="53"/>
      <c r="S11" s="52"/>
      <c r="T11" s="52"/>
      <c r="U11" s="52"/>
      <c r="V11" s="52"/>
      <c r="W11" s="52"/>
      <c r="X11" s="52"/>
      <c r="Y11" s="52"/>
      <c r="Z11" s="52"/>
      <c r="AA11" s="52"/>
    </row>
    <row r="12" spans="1:27" x14ac:dyDescent="0.3">
      <c r="A12" s="15" t="s">
        <v>61</v>
      </c>
      <c r="B12" s="76">
        <v>0.82299999999999995</v>
      </c>
      <c r="C12" s="16" t="s">
        <v>62</v>
      </c>
      <c r="D12" s="36" t="s">
        <v>150</v>
      </c>
      <c r="E12" s="55"/>
      <c r="F12" s="53"/>
      <c r="G12" s="53"/>
      <c r="H12" s="55"/>
      <c r="I12" s="55"/>
      <c r="J12" s="53"/>
      <c r="K12" s="53"/>
      <c r="L12" s="53"/>
      <c r="M12" s="53"/>
      <c r="N12" s="53"/>
      <c r="O12" s="53"/>
      <c r="P12" s="53"/>
      <c r="Q12" s="53"/>
      <c r="R12" s="53"/>
      <c r="S12" s="52"/>
      <c r="T12" s="52"/>
      <c r="U12" s="52"/>
      <c r="V12" s="52"/>
      <c r="W12" s="52"/>
      <c r="X12" s="52"/>
      <c r="Y12" s="52"/>
      <c r="Z12" s="52"/>
      <c r="AA12" s="52"/>
    </row>
    <row r="13" spans="1:27" x14ac:dyDescent="0.3">
      <c r="A13" s="18" t="s">
        <v>76</v>
      </c>
      <c r="B13" s="19">
        <f>B8*(B9*B11+B10*B12)</f>
        <v>283.95221999999995</v>
      </c>
      <c r="C13" s="19" t="s">
        <v>48</v>
      </c>
      <c r="D13" s="36"/>
      <c r="E13" s="53"/>
      <c r="F13" s="53"/>
      <c r="G13" s="53"/>
      <c r="H13" s="55"/>
      <c r="I13" s="55"/>
      <c r="J13" s="53"/>
      <c r="K13" s="53"/>
      <c r="L13" s="53"/>
      <c r="M13" s="53"/>
      <c r="N13" s="53"/>
      <c r="O13" s="53"/>
      <c r="P13" s="53"/>
      <c r="Q13" s="53"/>
      <c r="R13" s="53"/>
      <c r="S13" s="52"/>
      <c r="T13" s="52"/>
      <c r="U13" s="52"/>
      <c r="V13" s="52"/>
      <c r="W13" s="52"/>
      <c r="X13" s="52"/>
      <c r="Y13" s="52"/>
      <c r="Z13" s="52"/>
      <c r="AA13" s="52"/>
    </row>
    <row r="14" spans="1:27" x14ac:dyDescent="0.3">
      <c r="A14" s="15"/>
      <c r="B14" s="16">
        <f>B13/B6</f>
        <v>283.95221999999995</v>
      </c>
      <c r="C14" s="16" t="s">
        <v>73</v>
      </c>
      <c r="D14" s="36"/>
      <c r="E14" s="53"/>
      <c r="F14" s="53"/>
      <c r="G14" s="53"/>
      <c r="H14" s="53"/>
      <c r="I14" s="53"/>
      <c r="J14" s="53"/>
      <c r="K14" s="53"/>
      <c r="L14" s="53"/>
      <c r="M14" s="53"/>
      <c r="N14" s="53"/>
      <c r="O14" s="53"/>
      <c r="P14" s="53"/>
      <c r="Q14" s="53"/>
      <c r="R14" s="53"/>
      <c r="S14" s="52"/>
      <c r="T14" s="52"/>
      <c r="U14" s="52"/>
      <c r="V14" s="52"/>
      <c r="W14" s="52"/>
      <c r="X14" s="52"/>
      <c r="Y14" s="52"/>
      <c r="Z14" s="52"/>
      <c r="AA14" s="52"/>
    </row>
    <row r="15" spans="1:27" x14ac:dyDescent="0.3">
      <c r="A15" s="179"/>
      <c r="B15" s="179"/>
      <c r="C15" s="179"/>
      <c r="D15" s="36"/>
      <c r="E15" s="53"/>
      <c r="F15" s="53"/>
      <c r="G15" s="53"/>
      <c r="H15" s="53"/>
      <c r="I15" s="53"/>
      <c r="J15" s="53"/>
      <c r="K15" s="53"/>
      <c r="L15" s="53"/>
      <c r="M15" s="53"/>
      <c r="N15" s="53"/>
      <c r="O15" s="53"/>
      <c r="P15" s="53"/>
      <c r="Q15" s="53"/>
      <c r="R15" s="53"/>
      <c r="S15" s="52"/>
      <c r="T15" s="52"/>
      <c r="U15" s="52"/>
      <c r="V15" s="52"/>
      <c r="W15" s="52"/>
      <c r="X15" s="52"/>
      <c r="Y15" s="52"/>
      <c r="Z15" s="52"/>
      <c r="AA15" s="52"/>
    </row>
    <row r="16" spans="1:27" x14ac:dyDescent="0.3">
      <c r="A16" s="162" t="s">
        <v>74</v>
      </c>
      <c r="B16" s="163"/>
      <c r="C16" s="163"/>
      <c r="D16" s="36"/>
      <c r="E16" s="53"/>
      <c r="F16" s="53"/>
      <c r="G16" s="53"/>
      <c r="H16" s="53"/>
      <c r="I16" s="53"/>
      <c r="J16" s="53"/>
      <c r="K16" s="53"/>
      <c r="L16" s="53"/>
      <c r="M16" s="53"/>
      <c r="N16" s="53"/>
      <c r="O16" s="53"/>
      <c r="P16" s="53"/>
      <c r="Q16" s="53"/>
      <c r="R16" s="53"/>
      <c r="S16" s="52"/>
      <c r="T16" s="52"/>
      <c r="U16" s="52"/>
      <c r="V16" s="52"/>
      <c r="W16" s="52"/>
      <c r="X16" s="52"/>
      <c r="Y16" s="52"/>
      <c r="Z16" s="52"/>
      <c r="AA16" s="52"/>
    </row>
    <row r="17" spans="1:27" x14ac:dyDescent="0.3">
      <c r="A17" s="79" t="s">
        <v>52</v>
      </c>
      <c r="B17" s="74">
        <v>9</v>
      </c>
      <c r="C17" s="14" t="str">
        <f>IF(A17="Vochtgehalte", "%", "g/kg")</f>
        <v>%</v>
      </c>
      <c r="D17" s="36"/>
      <c r="E17" s="53"/>
      <c r="F17" s="53"/>
      <c r="G17" s="53"/>
      <c r="H17" s="53"/>
      <c r="I17" s="53"/>
      <c r="J17" s="53"/>
      <c r="K17" s="53"/>
      <c r="L17" s="53"/>
      <c r="M17" s="53"/>
      <c r="N17" s="53"/>
      <c r="O17" s="53"/>
      <c r="P17" s="53"/>
      <c r="Q17" s="53"/>
      <c r="R17" s="53"/>
      <c r="S17" s="52"/>
      <c r="T17" s="52"/>
      <c r="U17" s="52"/>
      <c r="V17" s="52"/>
      <c r="W17" s="52"/>
      <c r="X17" s="52"/>
      <c r="Y17" s="52"/>
      <c r="Z17" s="52"/>
      <c r="AA17" s="52"/>
    </row>
    <row r="18" spans="1:27" x14ac:dyDescent="0.3">
      <c r="A18" s="17" t="s">
        <v>56</v>
      </c>
      <c r="B18" s="58">
        <v>1116</v>
      </c>
      <c r="C18" s="19" t="s">
        <v>57</v>
      </c>
      <c r="D18" s="36"/>
      <c r="E18" s="53"/>
      <c r="F18" s="53"/>
      <c r="G18" s="53"/>
      <c r="H18" s="53"/>
      <c r="I18" s="53"/>
      <c r="J18" s="53"/>
      <c r="K18" s="53"/>
      <c r="L18" s="53"/>
      <c r="M18" s="53"/>
      <c r="N18" s="53"/>
      <c r="O18" s="53"/>
      <c r="P18" s="53"/>
      <c r="Q18" s="53"/>
      <c r="R18" s="53"/>
      <c r="S18" s="52"/>
      <c r="T18" s="52"/>
      <c r="U18" s="52"/>
      <c r="V18" s="52"/>
      <c r="W18" s="52"/>
      <c r="X18" s="52"/>
      <c r="Y18" s="52"/>
      <c r="Z18" s="52"/>
      <c r="AA18" s="52"/>
    </row>
    <row r="19" spans="1:27" x14ac:dyDescent="0.3">
      <c r="A19" s="15" t="s">
        <v>58</v>
      </c>
      <c r="B19" s="76">
        <v>154</v>
      </c>
      <c r="C19" s="16" t="s">
        <v>57</v>
      </c>
      <c r="D19" s="36"/>
      <c r="E19" s="53"/>
      <c r="F19" s="53"/>
      <c r="G19" s="53"/>
      <c r="H19" s="53"/>
      <c r="I19" s="53"/>
      <c r="J19" s="53"/>
      <c r="K19" s="53"/>
      <c r="L19" s="53"/>
      <c r="M19" s="53"/>
      <c r="N19" s="53"/>
      <c r="O19" s="53"/>
      <c r="P19" s="53"/>
      <c r="Q19" s="53"/>
      <c r="R19" s="53"/>
      <c r="S19" s="52"/>
      <c r="T19" s="52"/>
      <c r="U19" s="52"/>
      <c r="V19" s="52"/>
      <c r="W19" s="52"/>
      <c r="X19" s="52"/>
      <c r="Y19" s="52"/>
      <c r="Z19" s="52"/>
      <c r="AA19" s="52"/>
    </row>
    <row r="20" spans="1:27" x14ac:dyDescent="0.3">
      <c r="A20" s="13" t="s">
        <v>77</v>
      </c>
      <c r="B20" s="14">
        <f>B8+(((B17/100)*4.25)/(1-(B17/100)))</f>
        <v>1.2803296703296703</v>
      </c>
      <c r="C20" s="14" t="s">
        <v>45</v>
      </c>
      <c r="D20" s="36"/>
      <c r="E20" s="53"/>
      <c r="F20" s="53"/>
      <c r="G20" s="53"/>
      <c r="H20" s="53"/>
      <c r="I20" s="53"/>
      <c r="J20" s="53"/>
      <c r="K20" s="53"/>
      <c r="L20" s="53"/>
      <c r="M20" s="53"/>
      <c r="N20" s="53"/>
      <c r="O20" s="53"/>
      <c r="P20" s="53"/>
      <c r="Q20" s="53"/>
      <c r="R20" s="53"/>
      <c r="S20" s="52"/>
      <c r="T20" s="52"/>
      <c r="U20" s="52"/>
      <c r="V20" s="52"/>
      <c r="W20" s="52"/>
      <c r="X20" s="52"/>
      <c r="Y20" s="52"/>
      <c r="Z20" s="52"/>
      <c r="AA20" s="52"/>
    </row>
    <row r="21" spans="1:27" x14ac:dyDescent="0.3">
      <c r="A21" s="18" t="s">
        <v>75</v>
      </c>
      <c r="B21" s="19">
        <f>B8*(B18*B11+B19*B12)</f>
        <v>314.38675999999998</v>
      </c>
      <c r="C21" s="19" t="s">
        <v>48</v>
      </c>
      <c r="D21" s="36"/>
      <c r="E21" s="53"/>
      <c r="F21" s="53"/>
      <c r="G21" s="53"/>
      <c r="H21" s="53"/>
      <c r="I21" s="53"/>
      <c r="J21" s="53"/>
      <c r="K21" s="53"/>
      <c r="L21" s="53"/>
      <c r="M21" s="53"/>
      <c r="N21" s="53"/>
      <c r="O21" s="53"/>
      <c r="P21" s="53"/>
      <c r="Q21" s="53"/>
      <c r="R21" s="53"/>
      <c r="S21" s="52"/>
      <c r="T21" s="52"/>
      <c r="U21" s="52"/>
      <c r="V21" s="52"/>
      <c r="W21" s="52"/>
      <c r="X21" s="52"/>
      <c r="Y21" s="52"/>
      <c r="Z21" s="52"/>
      <c r="AA21" s="52"/>
    </row>
    <row r="22" spans="1:27" x14ac:dyDescent="0.3">
      <c r="A22" s="21"/>
      <c r="B22" s="6">
        <f>B21/B20</f>
        <v>245.55141326924726</v>
      </c>
      <c r="C22" s="6" t="s">
        <v>78</v>
      </c>
      <c r="D22" s="36"/>
      <c r="E22" s="53"/>
      <c r="F22" s="53"/>
      <c r="G22" s="53"/>
      <c r="H22" s="53"/>
      <c r="I22" s="53"/>
      <c r="J22" s="53"/>
      <c r="K22" s="53"/>
      <c r="L22" s="53"/>
      <c r="M22" s="53"/>
      <c r="N22" s="53"/>
      <c r="O22" s="53"/>
      <c r="P22" s="53"/>
      <c r="Q22" s="53"/>
      <c r="R22" s="53"/>
      <c r="S22" s="52"/>
      <c r="T22" s="52"/>
      <c r="U22" s="52"/>
      <c r="V22" s="52"/>
      <c r="W22" s="52"/>
      <c r="X22" s="52"/>
      <c r="Y22" s="52"/>
      <c r="Z22" s="52"/>
      <c r="AA22" s="52"/>
    </row>
    <row r="23" spans="1:27" x14ac:dyDescent="0.3">
      <c r="A23" s="15"/>
      <c r="B23" s="16">
        <f>B21/B6</f>
        <v>314.38675999999998</v>
      </c>
      <c r="C23" s="16" t="s">
        <v>73</v>
      </c>
      <c r="D23" s="36"/>
      <c r="E23" s="53"/>
      <c r="F23" s="53"/>
      <c r="G23" s="53"/>
      <c r="H23" s="53"/>
      <c r="I23" s="53"/>
      <c r="J23" s="53"/>
      <c r="K23" s="53"/>
      <c r="L23" s="53"/>
      <c r="M23" s="53"/>
      <c r="N23" s="53"/>
      <c r="O23" s="53"/>
      <c r="P23" s="53"/>
      <c r="Q23" s="53"/>
      <c r="R23" s="53"/>
      <c r="S23" s="52"/>
      <c r="T23" s="52"/>
      <c r="U23" s="52"/>
      <c r="V23" s="52"/>
      <c r="W23" s="52"/>
      <c r="X23" s="52"/>
      <c r="Y23" s="52"/>
      <c r="Z23" s="52"/>
      <c r="AA23" s="52"/>
    </row>
    <row r="24" spans="1:27" x14ac:dyDescent="0.3">
      <c r="A24" s="179"/>
      <c r="B24" s="179"/>
      <c r="C24" s="179"/>
      <c r="D24" s="36"/>
      <c r="E24" s="53"/>
      <c r="F24" s="53"/>
      <c r="G24" s="53"/>
      <c r="H24" s="53"/>
      <c r="I24" s="53"/>
      <c r="J24" s="53"/>
      <c r="K24" s="53"/>
      <c r="L24" s="53"/>
      <c r="M24" s="53"/>
      <c r="N24" s="53"/>
      <c r="O24" s="53"/>
      <c r="P24" s="53"/>
      <c r="Q24" s="53"/>
      <c r="R24" s="53"/>
      <c r="S24" s="52"/>
      <c r="T24" s="52"/>
      <c r="U24" s="52"/>
      <c r="V24" s="52"/>
      <c r="W24" s="52"/>
      <c r="X24" s="52"/>
      <c r="Y24" s="52"/>
      <c r="Z24" s="52"/>
      <c r="AA24" s="52"/>
    </row>
    <row r="25" spans="1:27" x14ac:dyDescent="0.3">
      <c r="A25" s="173" t="s">
        <v>79</v>
      </c>
      <c r="B25" s="174"/>
      <c r="C25" s="174"/>
      <c r="D25" s="36"/>
      <c r="E25" s="53"/>
      <c r="F25" s="53"/>
      <c r="G25" s="53"/>
      <c r="H25" s="53"/>
      <c r="I25" s="53"/>
      <c r="J25" s="53"/>
      <c r="K25" s="53"/>
      <c r="L25" s="53"/>
      <c r="M25" s="53"/>
      <c r="N25" s="53"/>
      <c r="O25" s="53"/>
      <c r="P25" s="53"/>
      <c r="Q25" s="53"/>
      <c r="R25" s="53"/>
      <c r="S25" s="52"/>
      <c r="T25" s="52"/>
      <c r="U25" s="52"/>
      <c r="V25" s="52"/>
      <c r="W25" s="52"/>
      <c r="X25" s="52"/>
      <c r="Y25" s="52"/>
      <c r="Z25" s="52"/>
      <c r="AA25" s="52"/>
    </row>
    <row r="26" spans="1:27" x14ac:dyDescent="0.3">
      <c r="A26" s="7" t="s">
        <v>80</v>
      </c>
      <c r="B26" s="8">
        <f>B21-B13</f>
        <v>30.434540000000027</v>
      </c>
      <c r="C26" s="8" t="s">
        <v>48</v>
      </c>
      <c r="D26" s="36"/>
      <c r="E26" s="53"/>
      <c r="F26" s="53"/>
      <c r="G26" s="53"/>
      <c r="H26" s="53"/>
      <c r="I26" s="53"/>
      <c r="J26" s="53"/>
      <c r="K26" s="53"/>
      <c r="L26" s="53"/>
      <c r="M26" s="53"/>
      <c r="N26" s="53"/>
      <c r="O26" s="53"/>
      <c r="P26" s="53"/>
      <c r="Q26" s="53"/>
      <c r="R26" s="53"/>
      <c r="S26" s="52"/>
      <c r="T26" s="52"/>
      <c r="U26" s="52"/>
      <c r="V26" s="52"/>
      <c r="W26" s="52"/>
      <c r="X26" s="52"/>
      <c r="Y26" s="52"/>
      <c r="Z26" s="52"/>
      <c r="AA26" s="52"/>
    </row>
    <row r="27" spans="1:27" x14ac:dyDescent="0.3">
      <c r="A27" s="9"/>
      <c r="B27" s="10">
        <f>B23-B14</f>
        <v>30.434540000000027</v>
      </c>
      <c r="C27" s="10" t="s">
        <v>73</v>
      </c>
      <c r="D27" s="36"/>
      <c r="E27" s="53"/>
      <c r="F27" s="53"/>
      <c r="G27" s="53"/>
      <c r="H27" s="53"/>
      <c r="I27" s="53"/>
      <c r="J27" s="53"/>
      <c r="K27" s="53"/>
      <c r="L27" s="53"/>
      <c r="M27" s="53"/>
      <c r="N27" s="53"/>
      <c r="O27" s="53"/>
      <c r="P27" s="53"/>
      <c r="Q27" s="53"/>
      <c r="R27" s="53"/>
      <c r="S27" s="52"/>
      <c r="T27" s="52"/>
      <c r="U27" s="52"/>
      <c r="V27" s="52"/>
      <c r="W27" s="52"/>
      <c r="X27" s="52"/>
      <c r="Y27" s="52"/>
      <c r="Z27" s="52"/>
      <c r="AA27" s="52"/>
    </row>
    <row r="28" spans="1:27" x14ac:dyDescent="0.3">
      <c r="A28" s="179"/>
      <c r="B28" s="179"/>
      <c r="C28" s="179"/>
      <c r="D28" s="36"/>
      <c r="E28" s="53"/>
      <c r="F28" s="53"/>
      <c r="G28" s="53"/>
      <c r="H28" s="53"/>
      <c r="I28" s="53"/>
      <c r="J28" s="53"/>
      <c r="K28" s="53"/>
      <c r="L28" s="53"/>
      <c r="M28" s="53"/>
      <c r="N28" s="53"/>
      <c r="O28" s="53"/>
      <c r="P28" s="53"/>
      <c r="Q28" s="53"/>
      <c r="R28" s="53"/>
      <c r="S28" s="52"/>
      <c r="T28" s="52"/>
      <c r="U28" s="52"/>
      <c r="V28" s="52"/>
      <c r="W28" s="52"/>
      <c r="X28" s="52"/>
      <c r="Y28" s="52"/>
      <c r="Z28" s="52"/>
      <c r="AA28" s="52"/>
    </row>
    <row r="29" spans="1:27" x14ac:dyDescent="0.3">
      <c r="A29" s="26" t="s">
        <v>81</v>
      </c>
      <c r="B29" s="74">
        <v>75</v>
      </c>
      <c r="C29" s="74" t="s">
        <v>73</v>
      </c>
      <c r="D29" s="36" t="s">
        <v>103</v>
      </c>
      <c r="E29" s="53"/>
      <c r="F29" s="53"/>
      <c r="G29" s="53"/>
      <c r="H29" s="53"/>
      <c r="I29" s="53"/>
      <c r="J29" s="53"/>
      <c r="K29" s="53"/>
      <c r="L29" s="53"/>
      <c r="M29" s="53"/>
      <c r="N29" s="53"/>
      <c r="O29" s="53"/>
      <c r="P29" s="53"/>
      <c r="Q29" s="53"/>
      <c r="R29" s="53"/>
      <c r="S29" s="52"/>
      <c r="T29" s="52"/>
      <c r="U29" s="52"/>
      <c r="V29" s="52"/>
      <c r="W29" s="52"/>
      <c r="X29" s="52"/>
      <c r="Y29" s="52"/>
      <c r="Z29" s="52"/>
      <c r="AA29" s="52"/>
    </row>
    <row r="30" spans="1:27" x14ac:dyDescent="0.3">
      <c r="A30" s="51" t="s">
        <v>50</v>
      </c>
      <c r="B30" s="58">
        <v>5</v>
      </c>
      <c r="C30" s="58" t="s">
        <v>73</v>
      </c>
      <c r="D30" s="36" t="s">
        <v>129</v>
      </c>
      <c r="E30" s="53"/>
      <c r="F30" s="53"/>
      <c r="G30" s="53"/>
      <c r="H30" s="53"/>
      <c r="I30" s="53"/>
      <c r="J30" s="53"/>
      <c r="K30" s="53"/>
      <c r="L30" s="53"/>
      <c r="M30" s="53"/>
      <c r="N30" s="53"/>
      <c r="O30" s="53"/>
      <c r="P30" s="53"/>
      <c r="Q30" s="53"/>
      <c r="R30" s="53"/>
      <c r="S30" s="52"/>
      <c r="T30" s="52"/>
      <c r="U30" s="52"/>
      <c r="V30" s="52"/>
      <c r="W30" s="52"/>
      <c r="X30" s="52"/>
      <c r="Y30" s="52"/>
      <c r="Z30" s="52"/>
      <c r="AA30" s="52"/>
    </row>
    <row r="31" spans="1:27" x14ac:dyDescent="0.3">
      <c r="A31" s="180"/>
      <c r="B31" s="180"/>
      <c r="C31" s="180"/>
      <c r="D31" s="81"/>
      <c r="E31" s="53"/>
      <c r="F31" s="53"/>
      <c r="G31" s="53"/>
      <c r="H31" s="53"/>
      <c r="I31" s="53"/>
      <c r="J31" s="53"/>
      <c r="K31" s="53"/>
      <c r="L31" s="53"/>
      <c r="M31" s="53"/>
      <c r="N31" s="53"/>
      <c r="O31" s="53"/>
      <c r="P31" s="53"/>
      <c r="Q31" s="53"/>
      <c r="R31" s="53"/>
      <c r="S31" s="52"/>
      <c r="T31" s="52"/>
      <c r="U31" s="52"/>
      <c r="V31" s="52"/>
      <c r="W31" s="52"/>
      <c r="X31" s="52"/>
      <c r="Y31" s="52"/>
      <c r="Z31" s="52"/>
      <c r="AA31" s="52"/>
    </row>
    <row r="32" spans="1:27" x14ac:dyDescent="0.3">
      <c r="A32" s="175" t="s">
        <v>83</v>
      </c>
      <c r="B32" s="176"/>
      <c r="C32" s="176"/>
      <c r="D32" s="82">
        <f>IF(AND(C29="€/ton VS",C30="€/ton VS"),SUM(B29:B30),IF(AND(C29="€",C30="€/ton VS"), B30+(B29/B6),IF(AND(C29="€/ton VS",C30="€"),B29+(B30/B6),IF(AND(C29="€",C30="€"),(B29+B30)/B6,""))))</f>
        <v>80</v>
      </c>
      <c r="E32" s="53"/>
      <c r="F32" s="53"/>
      <c r="G32" s="53"/>
      <c r="H32" s="53"/>
      <c r="I32" s="53"/>
      <c r="J32" s="53"/>
      <c r="K32" s="53"/>
      <c r="L32" s="53"/>
      <c r="M32" s="53"/>
      <c r="N32" s="53"/>
      <c r="O32" s="53"/>
      <c r="P32" s="53"/>
      <c r="Q32" s="53"/>
      <c r="R32" s="53"/>
      <c r="S32" s="52"/>
      <c r="T32" s="52"/>
      <c r="U32" s="52"/>
      <c r="V32" s="52"/>
      <c r="W32" s="52"/>
      <c r="X32" s="52"/>
      <c r="Y32" s="52"/>
      <c r="Z32" s="52"/>
      <c r="AA32" s="52"/>
    </row>
    <row r="33" spans="1:27" x14ac:dyDescent="0.3">
      <c r="A33" s="175" t="str">
        <f>IF(D32&gt;B27, "Toasten is in dit geval niet rendabel.","Toasten is in dit geval rendabel.")</f>
        <v>Toasten is in dit geval niet rendabel.</v>
      </c>
      <c r="B33" s="176"/>
      <c r="C33" s="176"/>
      <c r="D33" s="83"/>
      <c r="E33" s="53"/>
      <c r="F33" s="53"/>
      <c r="G33" s="53"/>
      <c r="H33" s="53"/>
      <c r="I33" s="53"/>
      <c r="J33" s="53"/>
      <c r="K33" s="53"/>
      <c r="L33" s="53"/>
      <c r="M33" s="53"/>
      <c r="N33" s="53"/>
      <c r="O33" s="53"/>
      <c r="P33" s="53"/>
      <c r="Q33" s="53"/>
      <c r="R33" s="53"/>
      <c r="S33" s="52"/>
      <c r="T33" s="52"/>
      <c r="U33" s="52"/>
      <c r="V33" s="52"/>
      <c r="W33" s="52"/>
      <c r="X33" s="52"/>
      <c r="Y33" s="52"/>
      <c r="Z33" s="52"/>
      <c r="AA33" s="52"/>
    </row>
    <row r="34" spans="1:27" x14ac:dyDescent="0.3">
      <c r="A34" s="52"/>
      <c r="B34" s="52"/>
      <c r="C34" s="52"/>
      <c r="D34" s="53"/>
      <c r="E34" s="53"/>
      <c r="F34" s="53"/>
      <c r="G34" s="53"/>
      <c r="H34" s="53"/>
      <c r="I34" s="53"/>
      <c r="J34" s="53"/>
      <c r="K34" s="53"/>
      <c r="L34" s="53"/>
      <c r="M34" s="53"/>
      <c r="N34" s="53"/>
      <c r="O34" s="53"/>
      <c r="P34" s="53"/>
      <c r="Q34" s="53"/>
      <c r="R34" s="53"/>
      <c r="S34" s="52"/>
      <c r="T34" s="52"/>
      <c r="U34" s="52"/>
      <c r="V34" s="52"/>
      <c r="W34" s="52"/>
      <c r="X34" s="52"/>
      <c r="Y34" s="52"/>
      <c r="Z34" s="52"/>
      <c r="AA34" s="52"/>
    </row>
    <row r="35" spans="1:27" x14ac:dyDescent="0.3">
      <c r="A35" s="52"/>
      <c r="B35" s="52"/>
      <c r="C35" s="52"/>
      <c r="D35" s="53"/>
      <c r="E35" s="53"/>
      <c r="F35" s="53"/>
      <c r="G35" s="53"/>
      <c r="H35" s="53"/>
      <c r="I35" s="53"/>
      <c r="J35" s="53"/>
      <c r="K35" s="53"/>
      <c r="L35" s="53"/>
      <c r="M35" s="53"/>
      <c r="N35" s="53"/>
      <c r="O35" s="53"/>
      <c r="P35" s="53"/>
      <c r="Q35" s="53"/>
      <c r="R35" s="53"/>
      <c r="S35" s="52"/>
      <c r="T35" s="52"/>
      <c r="U35" s="52"/>
      <c r="V35" s="52"/>
      <c r="W35" s="52"/>
      <c r="X35" s="52"/>
      <c r="Y35" s="52"/>
      <c r="Z35" s="52"/>
      <c r="AA35" s="52"/>
    </row>
    <row r="36" spans="1:27" x14ac:dyDescent="0.3">
      <c r="A36" s="52"/>
      <c r="B36" s="52"/>
      <c r="C36" s="52"/>
      <c r="D36" s="53"/>
      <c r="E36" s="53"/>
      <c r="F36" s="53"/>
      <c r="G36" s="53"/>
      <c r="H36" s="53"/>
      <c r="I36" s="53"/>
      <c r="J36" s="53"/>
      <c r="K36" s="53"/>
      <c r="L36" s="53"/>
      <c r="M36" s="53"/>
      <c r="N36" s="53"/>
      <c r="O36" s="53"/>
      <c r="P36" s="53"/>
      <c r="Q36" s="53"/>
      <c r="R36" s="53"/>
      <c r="S36" s="52"/>
      <c r="T36" s="52"/>
      <c r="U36" s="52"/>
      <c r="V36" s="52"/>
      <c r="W36" s="52"/>
      <c r="X36" s="52"/>
      <c r="Y36" s="52"/>
      <c r="Z36" s="52"/>
      <c r="AA36" s="52"/>
    </row>
    <row r="37" spans="1:27" x14ac:dyDescent="0.3">
      <c r="A37" s="52"/>
      <c r="B37" s="52"/>
      <c r="C37" s="52"/>
      <c r="D37" s="53"/>
      <c r="E37" s="53"/>
      <c r="F37" s="53"/>
      <c r="G37" s="53"/>
      <c r="H37" s="53"/>
      <c r="I37" s="53"/>
      <c r="J37" s="53"/>
      <c r="K37" s="53"/>
      <c r="L37" s="53"/>
      <c r="M37" s="53"/>
      <c r="N37" s="53"/>
      <c r="O37" s="53"/>
      <c r="P37" s="53"/>
      <c r="Q37" s="53"/>
      <c r="R37" s="53"/>
      <c r="S37" s="52"/>
      <c r="T37" s="52"/>
      <c r="U37" s="52"/>
      <c r="V37" s="52"/>
      <c r="W37" s="52"/>
      <c r="X37" s="52"/>
      <c r="Y37" s="52"/>
      <c r="Z37" s="52"/>
      <c r="AA37" s="52"/>
    </row>
    <row r="38" spans="1:27" x14ac:dyDescent="0.3">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row>
    <row r="39" spans="1:27" x14ac:dyDescent="0.3">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row>
    <row r="40" spans="1:27" x14ac:dyDescent="0.3">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row>
    <row r="41" spans="1:27" x14ac:dyDescent="0.3">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row>
    <row r="42" spans="1:27" x14ac:dyDescent="0.3">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c r="AA42" s="52"/>
    </row>
    <row r="43" spans="1:27" x14ac:dyDescent="0.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c r="AA43" s="52"/>
    </row>
    <row r="44" spans="1:27" x14ac:dyDescent="0.3">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row>
    <row r="45" spans="1:27" x14ac:dyDescent="0.3">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row>
    <row r="46" spans="1:27" x14ac:dyDescent="0.3">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row>
    <row r="47" spans="1:27" x14ac:dyDescent="0.3">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row>
    <row r="48" spans="1:27" x14ac:dyDescent="0.3">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row>
    <row r="49" spans="1:27" x14ac:dyDescent="0.3">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row>
    <row r="50" spans="1:27" x14ac:dyDescent="0.3">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row>
    <row r="51" spans="1:27" x14ac:dyDescent="0.3">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c r="AA51" s="52"/>
    </row>
    <row r="52" spans="1:27" x14ac:dyDescent="0.3">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row>
    <row r="53" spans="1:27" x14ac:dyDescent="0.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row>
    <row r="54" spans="1:27" x14ac:dyDescent="0.3">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c r="AA54" s="52"/>
    </row>
    <row r="55" spans="1:27" x14ac:dyDescent="0.3">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row>
    <row r="56" spans="1:27" x14ac:dyDescent="0.3">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c r="AA56" s="52"/>
    </row>
    <row r="57" spans="1:27" x14ac:dyDescent="0.3">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c r="AA57" s="52"/>
    </row>
    <row r="58" spans="1:27" x14ac:dyDescent="0.3">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c r="AA58" s="52"/>
    </row>
    <row r="59" spans="1:27" x14ac:dyDescent="0.3">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c r="AA59" s="52"/>
    </row>
    <row r="60" spans="1:27" x14ac:dyDescent="0.3">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c r="AA60" s="52"/>
    </row>
    <row r="61" spans="1:27" x14ac:dyDescent="0.3">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row>
    <row r="62" spans="1:27" x14ac:dyDescent="0.3">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c r="AA62" s="52"/>
    </row>
    <row r="63" spans="1:27" x14ac:dyDescent="0.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c r="AA63" s="52"/>
    </row>
    <row r="64" spans="1:27" x14ac:dyDescent="0.3">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c r="AA64" s="52"/>
    </row>
    <row r="65" spans="1:27" x14ac:dyDescent="0.3">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row>
    <row r="66" spans="1:27" x14ac:dyDescent="0.3">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row>
    <row r="67" spans="1:27" x14ac:dyDescent="0.3">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c r="AA67" s="52"/>
    </row>
    <row r="68" spans="1:27" x14ac:dyDescent="0.3">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row>
    <row r="69" spans="1:27" x14ac:dyDescent="0.3">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row>
    <row r="70" spans="1:27" x14ac:dyDescent="0.3">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row>
    <row r="71" spans="1:27" x14ac:dyDescent="0.3">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row>
    <row r="72" spans="1:27" x14ac:dyDescent="0.3">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c r="AA72" s="52"/>
    </row>
    <row r="73" spans="1:27" x14ac:dyDescent="0.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c r="AA73" s="52"/>
    </row>
    <row r="74" spans="1:27" x14ac:dyDescent="0.3">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c r="AA74" s="52"/>
    </row>
    <row r="75" spans="1:27" x14ac:dyDescent="0.3">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row>
    <row r="76" spans="1:27" x14ac:dyDescent="0.3">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c r="AA76" s="52"/>
    </row>
    <row r="77" spans="1:27" x14ac:dyDescent="0.3">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c r="AA77" s="52"/>
    </row>
    <row r="78" spans="1:27" x14ac:dyDescent="0.3">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row>
    <row r="79" spans="1:27" x14ac:dyDescent="0.3">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c r="AA79" s="52"/>
    </row>
    <row r="80" spans="1:27" x14ac:dyDescent="0.3">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c r="AA80" s="52"/>
    </row>
    <row r="81" spans="1:27" x14ac:dyDescent="0.3">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row>
    <row r="82" spans="1:27" x14ac:dyDescent="0.3">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row>
    <row r="83" spans="1:27" x14ac:dyDescent="0.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row>
    <row r="84" spans="1:27" x14ac:dyDescent="0.3">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c r="AA84" s="52"/>
    </row>
    <row r="85" spans="1:27" x14ac:dyDescent="0.3">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c r="AA85" s="52"/>
    </row>
    <row r="86" spans="1:27" x14ac:dyDescent="0.3">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c r="AA86" s="52"/>
    </row>
    <row r="87" spans="1:27" x14ac:dyDescent="0.3">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c r="AA87" s="52"/>
    </row>
    <row r="88" spans="1:27" x14ac:dyDescent="0.3">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c r="AA88" s="52"/>
    </row>
    <row r="89" spans="1:27" x14ac:dyDescent="0.3">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c r="AA89" s="52"/>
    </row>
    <row r="90" spans="1:27" x14ac:dyDescent="0.3">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c r="AA90" s="52"/>
    </row>
    <row r="91" spans="1:27" x14ac:dyDescent="0.3">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row>
    <row r="92" spans="1:27" x14ac:dyDescent="0.3">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c r="AA92" s="52"/>
    </row>
    <row r="93" spans="1:27" x14ac:dyDescent="0.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c r="AA93" s="52"/>
    </row>
    <row r="94" spans="1:27" x14ac:dyDescent="0.3">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row>
    <row r="95" spans="1:27" x14ac:dyDescent="0.3">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row>
    <row r="96" spans="1:27" x14ac:dyDescent="0.3">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row>
    <row r="97" spans="1:27" x14ac:dyDescent="0.3">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row>
    <row r="98" spans="1:27" x14ac:dyDescent="0.3">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row>
    <row r="99" spans="1:27" x14ac:dyDescent="0.3">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row>
    <row r="100" spans="1:27" x14ac:dyDescent="0.3">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row>
    <row r="101" spans="1:27" x14ac:dyDescent="0.3">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row>
    <row r="102" spans="1:27" x14ac:dyDescent="0.3">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row>
    <row r="103" spans="1:27" x14ac:dyDescent="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row>
    <row r="104" spans="1:27" x14ac:dyDescent="0.3">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row>
    <row r="105" spans="1:27" x14ac:dyDescent="0.3">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row>
    <row r="106" spans="1:27" x14ac:dyDescent="0.3">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row>
    <row r="107" spans="1:27" x14ac:dyDescent="0.3">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row>
    <row r="108" spans="1:27" x14ac:dyDescent="0.3">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c r="AA108" s="52"/>
    </row>
    <row r="109" spans="1:27" x14ac:dyDescent="0.3">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c r="AA109" s="52"/>
    </row>
    <row r="110" spans="1:27" x14ac:dyDescent="0.3">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c r="AA110" s="52"/>
    </row>
    <row r="111" spans="1:27" x14ac:dyDescent="0.3">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c r="AA111" s="52"/>
    </row>
    <row r="112" spans="1:27" x14ac:dyDescent="0.3">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c r="AA112" s="52"/>
    </row>
    <row r="113" spans="1:27" x14ac:dyDescent="0.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c r="AA113" s="52"/>
    </row>
    <row r="114" spans="1:27" x14ac:dyDescent="0.3">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row>
    <row r="115" spans="1:27" x14ac:dyDescent="0.3">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row>
    <row r="116" spans="1:27" x14ac:dyDescent="0.3">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row>
    <row r="117" spans="1:27" x14ac:dyDescent="0.3">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row>
    <row r="118" spans="1:27" x14ac:dyDescent="0.3">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row>
    <row r="119" spans="1:27" x14ac:dyDescent="0.3">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c r="AA119" s="52"/>
    </row>
    <row r="120" spans="1:27" x14ac:dyDescent="0.3">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c r="AA120" s="52"/>
    </row>
    <row r="121" spans="1:27" x14ac:dyDescent="0.3">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c r="AA121" s="52"/>
    </row>
    <row r="122" spans="1:27" x14ac:dyDescent="0.3">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c r="AA122" s="52"/>
    </row>
    <row r="123" spans="1:27" x14ac:dyDescent="0.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c r="AA123" s="52"/>
    </row>
    <row r="124" spans="1:27" x14ac:dyDescent="0.3">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c r="AA124" s="52"/>
    </row>
    <row r="125" spans="1:27" x14ac:dyDescent="0.3">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c r="AA125" s="52"/>
    </row>
    <row r="126" spans="1:27" x14ac:dyDescent="0.3">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row>
    <row r="127" spans="1:27" x14ac:dyDescent="0.3">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c r="AA127" s="52"/>
    </row>
    <row r="128" spans="1:27" x14ac:dyDescent="0.3">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c r="AA128" s="52"/>
    </row>
    <row r="129" spans="1:27" x14ac:dyDescent="0.3">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x14ac:dyDescent="0.3">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c r="AA130" s="52"/>
    </row>
    <row r="131" spans="1:27" x14ac:dyDescent="0.3">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c r="AA131" s="52"/>
    </row>
    <row r="132" spans="1:27" x14ac:dyDescent="0.3">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c r="AA132" s="52"/>
    </row>
    <row r="133" spans="1:27" x14ac:dyDescent="0.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c r="AA133" s="52"/>
    </row>
    <row r="134" spans="1:27" x14ac:dyDescent="0.3">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c r="AA134" s="52"/>
    </row>
    <row r="135" spans="1:27" x14ac:dyDescent="0.3">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c r="AA135" s="52"/>
    </row>
    <row r="136" spans="1:27" x14ac:dyDescent="0.3">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c r="AA136" s="52"/>
    </row>
    <row r="137" spans="1:27" x14ac:dyDescent="0.3">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c r="AA137" s="52"/>
    </row>
    <row r="138" spans="1:27" x14ac:dyDescent="0.3">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row>
    <row r="139" spans="1:27" x14ac:dyDescent="0.3">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c r="AA139" s="52"/>
    </row>
    <row r="140" spans="1:27" x14ac:dyDescent="0.3">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c r="AA140" s="52"/>
    </row>
    <row r="141" spans="1:27" x14ac:dyDescent="0.3">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c r="AA141" s="52"/>
    </row>
    <row r="142" spans="1:27" x14ac:dyDescent="0.3">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c r="AA142" s="52"/>
    </row>
    <row r="143" spans="1:27" x14ac:dyDescent="0.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c r="AA143" s="52"/>
    </row>
    <row r="144" spans="1:27" x14ac:dyDescent="0.3">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c r="AA144" s="52"/>
    </row>
    <row r="145" spans="1:27" x14ac:dyDescent="0.3">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c r="AA145" s="52"/>
    </row>
    <row r="146" spans="1:27" x14ac:dyDescent="0.3">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c r="AA146" s="52"/>
    </row>
    <row r="147" spans="1:27" x14ac:dyDescent="0.3">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c r="AA147" s="52"/>
    </row>
    <row r="148" spans="1:27" x14ac:dyDescent="0.3">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c r="AA148" s="52"/>
    </row>
    <row r="149" spans="1:27" x14ac:dyDescent="0.3">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c r="AA149" s="52"/>
    </row>
    <row r="150" spans="1:27" x14ac:dyDescent="0.3">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c r="AA150" s="52"/>
    </row>
    <row r="151" spans="1:27" x14ac:dyDescent="0.3">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c r="AA151" s="52"/>
    </row>
    <row r="152" spans="1:27" x14ac:dyDescent="0.3">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c r="AA152" s="52"/>
    </row>
    <row r="153" spans="1:27" x14ac:dyDescent="0.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c r="AA153" s="52"/>
    </row>
    <row r="154" spans="1:27" x14ac:dyDescent="0.3">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c r="AA154" s="52"/>
    </row>
    <row r="155" spans="1:27" x14ac:dyDescent="0.3">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c r="AA155" s="52"/>
    </row>
    <row r="156" spans="1:27" x14ac:dyDescent="0.3">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c r="AA156" s="52"/>
    </row>
    <row r="157" spans="1:27" x14ac:dyDescent="0.3">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row>
    <row r="158" spans="1:27" x14ac:dyDescent="0.3">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row>
    <row r="159" spans="1:27" x14ac:dyDescent="0.3">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row>
    <row r="160" spans="1:27" x14ac:dyDescent="0.3">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c r="AA160" s="52"/>
    </row>
    <row r="161" spans="1:27" x14ac:dyDescent="0.3">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row>
    <row r="162" spans="1:27" x14ac:dyDescent="0.3">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c r="AA162" s="52"/>
    </row>
    <row r="163" spans="1:27" x14ac:dyDescent="0.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c r="AA163" s="52"/>
    </row>
    <row r="164" spans="1:27" x14ac:dyDescent="0.3">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c r="AA164" s="52"/>
    </row>
    <row r="165" spans="1:27" x14ac:dyDescent="0.3">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c r="AA165" s="52"/>
    </row>
    <row r="166" spans="1:27" x14ac:dyDescent="0.3">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c r="AA166" s="52"/>
    </row>
    <row r="167" spans="1:27" x14ac:dyDescent="0.3">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c r="AA167" s="52"/>
    </row>
    <row r="168" spans="1:27" x14ac:dyDescent="0.3">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row>
    <row r="169" spans="1:27" x14ac:dyDescent="0.3">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c r="AA169" s="52"/>
    </row>
    <row r="170" spans="1:27" x14ac:dyDescent="0.3">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c r="AA170" s="52"/>
    </row>
    <row r="171" spans="1:27" x14ac:dyDescent="0.3">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c r="AA171" s="52"/>
    </row>
    <row r="172" spans="1:27" x14ac:dyDescent="0.3">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c r="AA172" s="52"/>
    </row>
    <row r="173" spans="1:27" x14ac:dyDescent="0.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c r="AA173" s="52"/>
    </row>
    <row r="174" spans="1:27" x14ac:dyDescent="0.3">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c r="AA174" s="52"/>
    </row>
    <row r="175" spans="1:27" x14ac:dyDescent="0.3">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c r="AA175" s="52"/>
    </row>
    <row r="176" spans="1:27" x14ac:dyDescent="0.3">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row>
    <row r="177" spans="1:27" x14ac:dyDescent="0.3">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c r="AA177" s="52"/>
    </row>
    <row r="178" spans="1:27" x14ac:dyDescent="0.3">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c r="AA178" s="52"/>
    </row>
    <row r="179" spans="1:27" x14ac:dyDescent="0.3">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c r="AA179" s="52"/>
    </row>
    <row r="180" spans="1:27" x14ac:dyDescent="0.3">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c r="AA180" s="52"/>
    </row>
    <row r="181" spans="1:27" x14ac:dyDescent="0.3">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c r="AA181" s="52"/>
    </row>
    <row r="182" spans="1:27" x14ac:dyDescent="0.3">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c r="AA182" s="52"/>
    </row>
    <row r="183" spans="1:27" x14ac:dyDescent="0.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c r="AA183" s="52"/>
    </row>
    <row r="184" spans="1:27" x14ac:dyDescent="0.3">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row>
    <row r="185" spans="1:27" x14ac:dyDescent="0.3">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c r="AA185" s="52"/>
    </row>
    <row r="186" spans="1:27" x14ac:dyDescent="0.3">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c r="AA186" s="52"/>
    </row>
    <row r="187" spans="1:27" x14ac:dyDescent="0.3">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c r="AA187" s="52"/>
    </row>
    <row r="188" spans="1:27" x14ac:dyDescent="0.3">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c r="AA188" s="52"/>
    </row>
    <row r="189" spans="1:27" x14ac:dyDescent="0.3">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c r="AA189" s="52"/>
    </row>
    <row r="190" spans="1:27" x14ac:dyDescent="0.3">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c r="AA190" s="52"/>
    </row>
    <row r="191" spans="1:27" x14ac:dyDescent="0.3">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c r="AA191" s="52"/>
    </row>
    <row r="192" spans="1:27" x14ac:dyDescent="0.3">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c r="AA192" s="52"/>
    </row>
    <row r="193" spans="1:27" x14ac:dyDescent="0.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c r="AA193" s="52"/>
    </row>
    <row r="194" spans="1:27" x14ac:dyDescent="0.3">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c r="AA194" s="52"/>
    </row>
    <row r="195" spans="1:27" x14ac:dyDescent="0.3">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c r="AA195" s="52"/>
    </row>
    <row r="196" spans="1:27" x14ac:dyDescent="0.3">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c r="AA196" s="52"/>
    </row>
    <row r="197" spans="1:27" x14ac:dyDescent="0.3">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c r="AA197" s="52"/>
    </row>
    <row r="198" spans="1:27" x14ac:dyDescent="0.3">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c r="AA198" s="52"/>
    </row>
    <row r="199" spans="1:27" x14ac:dyDescent="0.3">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c r="AA199" s="52"/>
    </row>
    <row r="200" spans="1:27" x14ac:dyDescent="0.3">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c r="AA200" s="52"/>
    </row>
    <row r="201" spans="1:27" x14ac:dyDescent="0.3">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c r="AA201" s="52"/>
    </row>
    <row r="202" spans="1:27" x14ac:dyDescent="0.3">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c r="AA202" s="52"/>
    </row>
    <row r="203" spans="1:27" x14ac:dyDescent="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c r="AA203" s="52"/>
    </row>
    <row r="204" spans="1:27" x14ac:dyDescent="0.3">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c r="AA204" s="52"/>
    </row>
    <row r="205" spans="1:27" x14ac:dyDescent="0.3">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c r="AA205" s="52"/>
    </row>
    <row r="206" spans="1:27" x14ac:dyDescent="0.3">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c r="AA206" s="52"/>
    </row>
    <row r="207" spans="1:27" x14ac:dyDescent="0.3">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c r="AA207" s="52"/>
    </row>
    <row r="208" spans="1:27" x14ac:dyDescent="0.3">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row>
    <row r="209" spans="1:27" x14ac:dyDescent="0.3">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c r="AA209" s="52"/>
    </row>
    <row r="210" spans="1:27" x14ac:dyDescent="0.3">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c r="AA210" s="52"/>
    </row>
    <row r="211" spans="1:27" x14ac:dyDescent="0.3">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c r="AA211" s="52"/>
    </row>
    <row r="212" spans="1:27" x14ac:dyDescent="0.3">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c r="AA212" s="52"/>
    </row>
    <row r="213" spans="1:27" x14ac:dyDescent="0.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c r="AA213" s="52"/>
    </row>
    <row r="214" spans="1:27" x14ac:dyDescent="0.3">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c r="AA214" s="52"/>
    </row>
    <row r="215" spans="1:27" x14ac:dyDescent="0.3">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c r="AA215" s="52"/>
    </row>
    <row r="216" spans="1:27" x14ac:dyDescent="0.3">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c r="AA216" s="52"/>
    </row>
    <row r="217" spans="1:27" x14ac:dyDescent="0.3">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c r="AA217" s="52"/>
    </row>
    <row r="218" spans="1:27" x14ac:dyDescent="0.3">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c r="AA218" s="52"/>
    </row>
    <row r="219" spans="1:27" x14ac:dyDescent="0.3">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c r="AA219" s="52"/>
    </row>
    <row r="220" spans="1:27" x14ac:dyDescent="0.3">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c r="AA220" s="52"/>
    </row>
    <row r="221" spans="1:27" x14ac:dyDescent="0.3">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c r="AA221" s="52"/>
    </row>
    <row r="222" spans="1:27" x14ac:dyDescent="0.3">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c r="AA222" s="52"/>
    </row>
    <row r="223" spans="1:27" x14ac:dyDescent="0.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c r="AA223" s="52"/>
    </row>
    <row r="224" spans="1:27" x14ac:dyDescent="0.3">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c r="AA224" s="52"/>
    </row>
    <row r="225" spans="1:27" x14ac:dyDescent="0.3">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c r="AA225" s="52"/>
    </row>
    <row r="226" spans="1:27" x14ac:dyDescent="0.3">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c r="AA226" s="52"/>
    </row>
    <row r="227" spans="1:27" x14ac:dyDescent="0.3">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c r="AA227" s="52"/>
    </row>
    <row r="228" spans="1:27" x14ac:dyDescent="0.3">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c r="AA228" s="52"/>
    </row>
    <row r="229" spans="1:27" x14ac:dyDescent="0.3">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c r="AA229" s="52"/>
    </row>
    <row r="230" spans="1:27" x14ac:dyDescent="0.3">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c r="AA230" s="52"/>
    </row>
    <row r="231" spans="1:27" x14ac:dyDescent="0.3">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c r="AA231" s="52"/>
    </row>
    <row r="232" spans="1:27" x14ac:dyDescent="0.3">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c r="AA232" s="52"/>
    </row>
    <row r="233" spans="1:27" x14ac:dyDescent="0.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c r="AA233" s="52"/>
    </row>
    <row r="234" spans="1:27" x14ac:dyDescent="0.3">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c r="AA234" s="52"/>
    </row>
    <row r="235" spans="1:27" x14ac:dyDescent="0.3">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row>
    <row r="236" spans="1:27" x14ac:dyDescent="0.3">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c r="AA236" s="52"/>
    </row>
    <row r="237" spans="1:27" x14ac:dyDescent="0.3">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c r="AA237" s="52"/>
    </row>
    <row r="238" spans="1:27" x14ac:dyDescent="0.3">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c r="AA238" s="52"/>
    </row>
    <row r="239" spans="1:27" x14ac:dyDescent="0.3">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c r="AA239" s="52"/>
    </row>
    <row r="240" spans="1:27" x14ac:dyDescent="0.3">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c r="AA240" s="52"/>
    </row>
    <row r="241" spans="1:27" x14ac:dyDescent="0.3">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c r="AA241" s="52"/>
    </row>
    <row r="242" spans="1:27" x14ac:dyDescent="0.3">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c r="AA242" s="52"/>
    </row>
    <row r="243" spans="1:27" x14ac:dyDescent="0.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c r="AA243" s="52"/>
    </row>
    <row r="244" spans="1:27" x14ac:dyDescent="0.3">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c r="AA244" s="52"/>
    </row>
    <row r="245" spans="1:27" x14ac:dyDescent="0.3">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c r="AA245" s="52"/>
    </row>
    <row r="246" spans="1:27" x14ac:dyDescent="0.3">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c r="AA246" s="52"/>
    </row>
    <row r="247" spans="1:27" x14ac:dyDescent="0.3">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c r="AA247" s="52"/>
    </row>
    <row r="248" spans="1:27" x14ac:dyDescent="0.3">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c r="AA248" s="52"/>
    </row>
    <row r="249" spans="1:27" x14ac:dyDescent="0.3">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c r="AA249" s="52"/>
    </row>
    <row r="250" spans="1:27" x14ac:dyDescent="0.3">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c r="AA250" s="52"/>
    </row>
  </sheetData>
  <sheetProtection algorithmName="SHA-512" hashValue="Zdo68EqSNbkzeSkD71jAE9+/6Vji4CrwfyGAnyP6OWAUCyBjvRMQy7mFQaWouLsIdS/gi5+eOzbD358uB4Rmsw==" saltValue="JjCi8pG81rdWmNXyl1Lt0A==" spinCount="100000" sheet="1" selectLockedCells="1"/>
  <mergeCells count="13">
    <mergeCell ref="A1:D1"/>
    <mergeCell ref="A3:D3"/>
    <mergeCell ref="A25:C25"/>
    <mergeCell ref="A33:C33"/>
    <mergeCell ref="A4:C4"/>
    <mergeCell ref="A2:C2"/>
    <mergeCell ref="A32:C32"/>
    <mergeCell ref="A15:C15"/>
    <mergeCell ref="A24:C24"/>
    <mergeCell ref="A28:C28"/>
    <mergeCell ref="A31:C31"/>
    <mergeCell ref="A5:C5"/>
    <mergeCell ref="A16:C16"/>
  </mergeCells>
  <conditionalFormatting sqref="A21">
    <cfRule type="containsText" dxfId="5" priority="15" operator="containsText" text="Toasten is in dit geval rendabel">
      <formula>NOT(ISERROR(SEARCH("Toasten is in dit geval rendabel",A21)))</formula>
    </cfRule>
    <cfRule type="containsText" dxfId="4" priority="16" operator="containsText" text="Toasten is in dit geval niet rendabel">
      <formula>NOT(ISERROR(SEARCH("Toasten is in dit geval niet rendabel",A21)))</formula>
    </cfRule>
  </conditionalFormatting>
  <conditionalFormatting sqref="A32:C32">
    <cfRule type="expression" dxfId="3" priority="2">
      <formula>$A$33="Toasten is in dit geval niet rendabel."</formula>
    </cfRule>
    <cfRule type="expression" dxfId="2" priority="4">
      <formula>$A$33="Toasten is in dit geval rendabel."</formula>
    </cfRule>
  </conditionalFormatting>
  <conditionalFormatting sqref="A33:C33">
    <cfRule type="expression" dxfId="1" priority="1">
      <formula>$A$33="Toasten is in dit geval niet rendabel."</formula>
    </cfRule>
    <cfRule type="expression" dxfId="0" priority="3">
      <formula>$A$33="Toasten is in dit geval rendabel."</formula>
    </cfRule>
  </conditionalFormatting>
  <dataValidations count="1">
    <dataValidation type="decimal" errorStyle="warning" allowBlank="1" showInputMessage="1" showErrorMessage="1" error="De door u ingevoerde waarde valt buiten het mogelijke bereik. Controleer op typfouten en eenheden." sqref="B7 B17" xr:uid="{3F7FCDC8-6651-4232-A6CD-87B9C5B93C51}">
      <formula1>0</formula1>
      <formula2>1000</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1BE4DBD3-D6E5-449D-A0E4-92DEA64E61E6}">
          <x14:formula1>
            <xm:f>'Tabellen voor keuzelijsten'!$O$2:$O$3</xm:f>
          </x14:formula1>
          <xm:sqref>A7 A17</xm:sqref>
        </x14:dataValidation>
        <x14:dataValidation type="list" allowBlank="1" showInputMessage="1" showErrorMessage="1" prompt="Kies voor €/ton VS als u weet wat u betaald voor het toasten per ton veldbonen, of kies € als u weet hoeveel u betaalde voor het toasten van het volledige tonnage veldbonen." xr:uid="{4596CCAB-DA7B-4D1E-906E-097CC529F8DD}">
          <x14:formula1>
            <xm:f>'Tabellen voor keuzelijsten'!$Q$2:$Q$3</xm:f>
          </x14:formula1>
          <xm:sqref>C29:C30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B0F67-C387-44E4-8857-0FDA049C5C51}">
  <dimension ref="A1:U13"/>
  <sheetViews>
    <sheetView topLeftCell="H1" workbookViewId="0">
      <selection activeCell="H1" sqref="A1:XFD1048576"/>
    </sheetView>
  </sheetViews>
  <sheetFormatPr defaultRowHeight="14.4" x14ac:dyDescent="0.3"/>
  <cols>
    <col min="1" max="1" width="26.33203125" customWidth="1"/>
    <col min="3" max="3" width="26.33203125" customWidth="1"/>
    <col min="4" max="4" width="15.33203125" customWidth="1"/>
    <col min="5" max="5" width="27.109375" customWidth="1"/>
    <col min="7" max="7" width="18.5546875" customWidth="1"/>
    <col min="9" max="9" width="23.109375" customWidth="1"/>
    <col min="11" max="11" width="18.109375" customWidth="1"/>
    <col min="13" max="13" width="22.88671875" customWidth="1"/>
    <col min="15" max="15" width="17.33203125" customWidth="1"/>
    <col min="17" max="17" width="9.6640625" customWidth="1"/>
    <col min="19" max="19" width="13.6640625" customWidth="1"/>
    <col min="21" max="21" width="13" customWidth="1"/>
  </cols>
  <sheetData>
    <row r="1" spans="1:21" x14ac:dyDescent="0.3">
      <c r="A1" t="s">
        <v>3</v>
      </c>
      <c r="C1" t="s">
        <v>44</v>
      </c>
      <c r="E1" t="s">
        <v>17</v>
      </c>
      <c r="G1" t="s">
        <v>2</v>
      </c>
      <c r="I1" t="s">
        <v>1</v>
      </c>
      <c r="K1" t="s">
        <v>16</v>
      </c>
      <c r="M1" t="s">
        <v>46</v>
      </c>
      <c r="O1" t="s">
        <v>53</v>
      </c>
      <c r="Q1" t="s">
        <v>82</v>
      </c>
      <c r="S1" t="s">
        <v>86</v>
      </c>
      <c r="U1" t="s">
        <v>109</v>
      </c>
    </row>
    <row r="2" spans="1:21" x14ac:dyDescent="0.3">
      <c r="A2" t="s">
        <v>5</v>
      </c>
      <c r="C2" s="1" t="s">
        <v>2</v>
      </c>
      <c r="D2" s="1"/>
      <c r="E2" s="1" t="s">
        <v>18</v>
      </c>
      <c r="F2" s="1"/>
      <c r="G2" t="str">
        <f>""</f>
        <v/>
      </c>
      <c r="I2" t="s">
        <v>28</v>
      </c>
      <c r="K2" t="s">
        <v>28</v>
      </c>
      <c r="M2" t="s">
        <v>48</v>
      </c>
      <c r="O2" t="s">
        <v>52</v>
      </c>
      <c r="Q2" t="s">
        <v>48</v>
      </c>
      <c r="S2" t="s">
        <v>84</v>
      </c>
      <c r="U2" t="s">
        <v>110</v>
      </c>
    </row>
    <row r="3" spans="1:21" x14ac:dyDescent="0.3">
      <c r="A3" t="s">
        <v>4</v>
      </c>
      <c r="C3" s="1" t="s">
        <v>1</v>
      </c>
      <c r="D3" s="1"/>
      <c r="E3" s="1" t="s">
        <v>19</v>
      </c>
      <c r="I3" t="s">
        <v>18</v>
      </c>
      <c r="K3" t="s">
        <v>18</v>
      </c>
      <c r="M3" t="s">
        <v>49</v>
      </c>
      <c r="O3" t="s">
        <v>54</v>
      </c>
      <c r="Q3" t="s">
        <v>73</v>
      </c>
      <c r="S3" t="s">
        <v>85</v>
      </c>
      <c r="U3" t="s">
        <v>111</v>
      </c>
    </row>
    <row r="4" spans="1:21" x14ac:dyDescent="0.3">
      <c r="C4" s="1" t="s">
        <v>16</v>
      </c>
      <c r="D4" s="1"/>
      <c r="E4" s="1" t="s">
        <v>12</v>
      </c>
      <c r="I4" t="s">
        <v>19</v>
      </c>
      <c r="K4" t="s">
        <v>19</v>
      </c>
    </row>
    <row r="5" spans="1:21" x14ac:dyDescent="0.3">
      <c r="D5" s="1"/>
      <c r="E5" s="1" t="s">
        <v>21</v>
      </c>
      <c r="I5" t="s">
        <v>12</v>
      </c>
      <c r="K5" t="s">
        <v>12</v>
      </c>
    </row>
    <row r="6" spans="1:21" x14ac:dyDescent="0.3">
      <c r="D6" s="1"/>
      <c r="E6" s="1" t="s">
        <v>22</v>
      </c>
      <c r="I6" t="s">
        <v>21</v>
      </c>
      <c r="K6" t="s">
        <v>21</v>
      </c>
    </row>
    <row r="7" spans="1:21" x14ac:dyDescent="0.3">
      <c r="D7" s="1"/>
      <c r="E7" s="1" t="s">
        <v>23</v>
      </c>
      <c r="I7" t="s">
        <v>22</v>
      </c>
      <c r="K7" t="s">
        <v>22</v>
      </c>
    </row>
    <row r="8" spans="1:21" x14ac:dyDescent="0.3">
      <c r="D8" s="1"/>
      <c r="E8" s="1" t="s">
        <v>24</v>
      </c>
      <c r="I8" t="s">
        <v>23</v>
      </c>
    </row>
    <row r="9" spans="1:21" x14ac:dyDescent="0.3">
      <c r="D9" s="1"/>
      <c r="E9" s="1" t="s">
        <v>25</v>
      </c>
      <c r="I9" t="s">
        <v>24</v>
      </c>
    </row>
    <row r="10" spans="1:21" x14ac:dyDescent="0.3">
      <c r="D10" s="1"/>
      <c r="E10" s="1" t="s">
        <v>26</v>
      </c>
      <c r="I10" t="s">
        <v>25</v>
      </c>
    </row>
    <row r="11" spans="1:21" x14ac:dyDescent="0.3">
      <c r="E11" s="1" t="s">
        <v>27</v>
      </c>
      <c r="I11" t="s">
        <v>26</v>
      </c>
    </row>
    <row r="12" spans="1:21" x14ac:dyDescent="0.3">
      <c r="E12" s="1" t="s">
        <v>20</v>
      </c>
      <c r="I12" t="s">
        <v>27</v>
      </c>
    </row>
    <row r="13" spans="1:21" x14ac:dyDescent="0.3">
      <c r="I13" t="s">
        <v>20</v>
      </c>
    </row>
  </sheetData>
  <sheetProtection algorithmName="SHA-512" hashValue="Ux05ZnTwpsqvTQe5OcRRt3K0UJlvTdSl2Zv1S2duo9QXKSmuCii0oQ8gt9SxTvUJZBmN5RprvOKwoCXipXFfEg==" saltValue="IdKmfEdG5kG9OnrqEcMm6w==" spinCount="100000" sheet="1" objects="1" scenarios="1" selectLockedCells="1" selectUnlockedCell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5c0b3a-d8a0-4e42-b18c-dc820311926f" xsi:nil="true"/>
    <lcf76f155ced4ddcb4097134ff3c332f xmlns="32316f08-dc61-4a7a-b6c4-6fb9b2ecea4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87797F6F16824ABB785C89DA3AF73D" ma:contentTypeVersion="16" ma:contentTypeDescription="Een nieuw document maken." ma:contentTypeScope="" ma:versionID="960d4eaacbd695f9b2c991513f8c8451">
  <xsd:schema xmlns:xsd="http://www.w3.org/2001/XMLSchema" xmlns:xs="http://www.w3.org/2001/XMLSchema" xmlns:p="http://schemas.microsoft.com/office/2006/metadata/properties" xmlns:ns2="32316f08-dc61-4a7a-b6c4-6fb9b2ecea4f" xmlns:ns3="195c0b3a-d8a0-4e42-b18c-dc820311926f" targetNamespace="http://schemas.microsoft.com/office/2006/metadata/properties" ma:root="true" ma:fieldsID="7ebec857ef84896e63dcb649be91b6cb" ns2:_="" ns3:_="">
    <xsd:import namespace="32316f08-dc61-4a7a-b6c4-6fb9b2ecea4f"/>
    <xsd:import namespace="195c0b3a-d8a0-4e42-b18c-dc820311926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element ref="ns3:SharedWithUsers" minOccurs="0"/>
                <xsd:element ref="ns3:SharedWithDetail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316f08-dc61-4a7a-b6c4-6fb9b2ecea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b8fd057-f497-4875-ab44-d7d4ba58925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5c0b3a-d8a0-4e42-b18c-dc820311926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be3c6f-5d1d-452a-b4f2-dcceff3fd9c4}" ma:internalName="TaxCatchAll" ma:showField="CatchAllData" ma:web="195c0b3a-d8a0-4e42-b18c-dc820311926f">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002C88-EDE0-4C94-917E-C3FAC7D8DCCE}">
  <ds:schemaRefs>
    <ds:schemaRef ds:uri="http://schemas.microsoft.com/office/2006/metadata/properties"/>
    <ds:schemaRef ds:uri="http://schemas.microsoft.com/office/infopath/2007/PartnerControls"/>
    <ds:schemaRef ds:uri="d85592da-46b5-418c-95e1-0c0c36cc9923"/>
    <ds:schemaRef ds:uri="75ead59f-d5e7-448c-a512-390f7a26f2b8"/>
    <ds:schemaRef ds:uri="195c0b3a-d8a0-4e42-b18c-dc820311926f"/>
    <ds:schemaRef ds:uri="32316f08-dc61-4a7a-b6c4-6fb9b2ecea4f"/>
  </ds:schemaRefs>
</ds:datastoreItem>
</file>

<file path=customXml/itemProps2.xml><?xml version="1.0" encoding="utf-8"?>
<ds:datastoreItem xmlns:ds="http://schemas.openxmlformats.org/officeDocument/2006/customXml" ds:itemID="{862CCFE8-B39C-42CA-8EC6-3A5C37643B51}">
  <ds:schemaRefs>
    <ds:schemaRef ds:uri="http://schemas.microsoft.com/sharepoint/v3/contenttype/forms"/>
  </ds:schemaRefs>
</ds:datastoreItem>
</file>

<file path=customXml/itemProps3.xml><?xml version="1.0" encoding="utf-8"?>
<ds:datastoreItem xmlns:ds="http://schemas.openxmlformats.org/officeDocument/2006/customXml" ds:itemID="{3C19B301-B1F9-482F-BDF9-F509F82CB485}"/>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5</vt:i4>
      </vt:variant>
    </vt:vector>
  </HeadingPairs>
  <TitlesOfParts>
    <vt:vector size="5" baseType="lpstr">
      <vt:lpstr>Handleiding</vt:lpstr>
      <vt:lpstr>Teelt</vt:lpstr>
      <vt:lpstr>Vervoedering</vt:lpstr>
      <vt:lpstr>Toasten</vt:lpstr>
      <vt:lpstr>Tabellen voor keuzelijsten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 Keppens</dc:creator>
  <cp:lastModifiedBy>Stef Keppens</cp:lastModifiedBy>
  <cp:lastPrinted>2024-08-16T08:51:43Z</cp:lastPrinted>
  <dcterms:created xsi:type="dcterms:W3CDTF">2023-02-17T10:41:58Z</dcterms:created>
  <dcterms:modified xsi:type="dcterms:W3CDTF">2025-11-26T06:56:08Z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0x0101000287797F6F16824ABB785C89DA3AF73D</vt:lpwstr>
  </property>
  <property fmtid="{D5CDD505-2E9C-101B-9397-08002B2CF9AE}" pid="3" name="MediaServiceImageTags">
    <vt:lpwstr/>
  </property>
</Properties>
</file>